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User\Desktop\Кинопарк\!!!!!!!ЭКСПЛУАТАЦИЯ 2026\уборка территории\"/>
    </mc:Choice>
  </mc:AlternateContent>
  <xr:revisionPtr revIDLastSave="0" documentId="13_ncr:1_{9E30C16F-6433-49F9-9725-38536A583965}" xr6:coauthVersionLast="47" xr6:coauthVersionMax="47" xr10:uidLastSave="{00000000-0000-0000-0000-000000000000}"/>
  <bookViews>
    <workbookView xWindow="-38520" yWindow="-120" windowWidth="38640" windowHeight="21120" xr2:uid="{F8697962-D102-4CFA-9A05-0226CC5232D6}"/>
  </bookViews>
  <sheets>
    <sheet name="Смета СН-2012 по гл. 1-5,7" sheetId="7" r:id="rId1"/>
    <sheet name="Ведомость объемов работ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'Ведомость объемов работ'!$17:$17</definedName>
    <definedName name="_xlnm.Print_Titles" localSheetId="0">'Смета СН-2012 по гл. 1-5,7'!$31:$31</definedName>
    <definedName name="_xlnm.Print_Area" localSheetId="1">'Ведомость объемов работ'!$A$1:$F$44</definedName>
    <definedName name="_xlnm.Print_Area" localSheetId="0">'Смета СН-2012 по гл. 1-5,7'!$A$1:$K$168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49" i="1" l="1"/>
  <c r="F216" i="1"/>
  <c r="D42" i="8"/>
  <c r="D40" i="8"/>
  <c r="E37" i="8"/>
  <c r="C37" i="8"/>
  <c r="B37" i="8"/>
  <c r="E36" i="8"/>
  <c r="C36" i="8"/>
  <c r="B36" i="8"/>
  <c r="A35" i="8"/>
  <c r="E34" i="8"/>
  <c r="C34" i="8"/>
  <c r="B34" i="8"/>
  <c r="E33" i="8"/>
  <c r="C33" i="8"/>
  <c r="B33" i="8"/>
  <c r="E32" i="8"/>
  <c r="C32" i="8"/>
  <c r="B32" i="8"/>
  <c r="E31" i="8"/>
  <c r="C31" i="8"/>
  <c r="B31" i="8"/>
  <c r="A30" i="8"/>
  <c r="E29" i="8"/>
  <c r="C29" i="8"/>
  <c r="B29" i="8"/>
  <c r="E28" i="8"/>
  <c r="C28" i="8"/>
  <c r="B28" i="8"/>
  <c r="E27" i="8"/>
  <c r="C27" i="8"/>
  <c r="B27" i="8"/>
  <c r="E26" i="8"/>
  <c r="C26" i="8"/>
  <c r="B26" i="8"/>
  <c r="E25" i="8"/>
  <c r="C25" i="8"/>
  <c r="B25" i="8"/>
  <c r="E24" i="8"/>
  <c r="C24" i="8"/>
  <c r="B24" i="8"/>
  <c r="E23" i="8"/>
  <c r="C23" i="8"/>
  <c r="B23" i="8"/>
  <c r="E22" i="8"/>
  <c r="C22" i="8"/>
  <c r="B22" i="8"/>
  <c r="E21" i="8"/>
  <c r="C21" i="8"/>
  <c r="B21" i="8"/>
  <c r="E20" i="8"/>
  <c r="C20" i="8"/>
  <c r="B20" i="8"/>
  <c r="A19" i="8"/>
  <c r="A18" i="8"/>
  <c r="B14" i="8"/>
  <c r="B13" i="8"/>
  <c r="B12" i="8"/>
  <c r="A1" i="8"/>
  <c r="H166" i="7"/>
  <c r="H163" i="7"/>
  <c r="C166" i="7"/>
  <c r="C163" i="7"/>
  <c r="C160" i="7"/>
  <c r="I159" i="7"/>
  <c r="C159" i="7"/>
  <c r="I158" i="7"/>
  <c r="C158" i="7"/>
  <c r="I26" i="7"/>
  <c r="I25" i="7"/>
  <c r="I24" i="7"/>
  <c r="I23" i="7"/>
  <c r="I22" i="7"/>
  <c r="I21" i="7"/>
  <c r="A157" i="7"/>
  <c r="I155" i="7"/>
  <c r="C155" i="7"/>
  <c r="I154" i="7"/>
  <c r="C154" i="7"/>
  <c r="A152" i="7"/>
  <c r="A149" i="7"/>
  <c r="K143" i="7"/>
  <c r="H143" i="7"/>
  <c r="G143" i="7"/>
  <c r="E143" i="7"/>
  <c r="J142" i="7"/>
  <c r="E142" i="7"/>
  <c r="J141" i="7"/>
  <c r="E141" i="7"/>
  <c r="J140" i="7"/>
  <c r="I144" i="7" s="1"/>
  <c r="E140" i="7"/>
  <c r="J139" i="7"/>
  <c r="I139" i="7"/>
  <c r="H139" i="7"/>
  <c r="G139" i="7"/>
  <c r="F139" i="7"/>
  <c r="J138" i="7"/>
  <c r="I138" i="7"/>
  <c r="H138" i="7"/>
  <c r="G138" i="7"/>
  <c r="F138" i="7"/>
  <c r="J137" i="7"/>
  <c r="I137" i="7"/>
  <c r="H137" i="7"/>
  <c r="G137" i="7"/>
  <c r="F137" i="7"/>
  <c r="V136" i="7"/>
  <c r="T136" i="7"/>
  <c r="R136" i="7"/>
  <c r="U136" i="7"/>
  <c r="S136" i="7"/>
  <c r="Q136" i="7"/>
  <c r="E136" i="7"/>
  <c r="D136" i="7"/>
  <c r="C136" i="7"/>
  <c r="B136" i="7"/>
  <c r="K134" i="7"/>
  <c r="H134" i="7"/>
  <c r="G134" i="7"/>
  <c r="E134" i="7"/>
  <c r="J133" i="7"/>
  <c r="E133" i="7"/>
  <c r="J132" i="7"/>
  <c r="E132" i="7"/>
  <c r="J131" i="7"/>
  <c r="I131" i="7"/>
  <c r="H131" i="7"/>
  <c r="G131" i="7"/>
  <c r="F131" i="7"/>
  <c r="J130" i="7"/>
  <c r="I135" i="7" s="1"/>
  <c r="I130" i="7"/>
  <c r="H130" i="7"/>
  <c r="G130" i="7"/>
  <c r="F130" i="7"/>
  <c r="V129" i="7"/>
  <c r="T129" i="7"/>
  <c r="R129" i="7"/>
  <c r="U129" i="7"/>
  <c r="S129" i="7"/>
  <c r="Q129" i="7"/>
  <c r="E129" i="7"/>
  <c r="D129" i="7"/>
  <c r="C129" i="7"/>
  <c r="B129" i="7"/>
  <c r="A128" i="7"/>
  <c r="J122" i="7"/>
  <c r="E122" i="7"/>
  <c r="J121" i="7"/>
  <c r="I123" i="7" s="1"/>
  <c r="I121" i="7"/>
  <c r="H121" i="7"/>
  <c r="G121" i="7"/>
  <c r="F121" i="7"/>
  <c r="J120" i="7"/>
  <c r="I120" i="7"/>
  <c r="H120" i="7"/>
  <c r="G120" i="7"/>
  <c r="F120" i="7"/>
  <c r="J119" i="7"/>
  <c r="I119" i="7"/>
  <c r="H119" i="7"/>
  <c r="G119" i="7"/>
  <c r="F119" i="7"/>
  <c r="V118" i="7"/>
  <c r="T118" i="7"/>
  <c r="R118" i="7"/>
  <c r="U118" i="7"/>
  <c r="S118" i="7"/>
  <c r="Q118" i="7"/>
  <c r="E118" i="7"/>
  <c r="D118" i="7"/>
  <c r="C118" i="7"/>
  <c r="B118" i="7"/>
  <c r="K116" i="7"/>
  <c r="H116" i="7"/>
  <c r="G116" i="7"/>
  <c r="E116" i="7"/>
  <c r="E115" i="7"/>
  <c r="E114" i="7"/>
  <c r="J113" i="7"/>
  <c r="I113" i="7"/>
  <c r="H113" i="7"/>
  <c r="G113" i="7"/>
  <c r="F113" i="7"/>
  <c r="V112" i="7"/>
  <c r="T112" i="7"/>
  <c r="J115" i="7" s="1"/>
  <c r="R112" i="7"/>
  <c r="J114" i="7" s="1"/>
  <c r="U112" i="7"/>
  <c r="S112" i="7"/>
  <c r="Q112" i="7"/>
  <c r="E112" i="7"/>
  <c r="D112" i="7"/>
  <c r="C112" i="7"/>
  <c r="B112" i="7"/>
  <c r="E110" i="7"/>
  <c r="J109" i="7"/>
  <c r="I109" i="7"/>
  <c r="H109" i="7"/>
  <c r="F109" i="7"/>
  <c r="V109" i="7"/>
  <c r="T109" i="7"/>
  <c r="R109" i="7"/>
  <c r="U109" i="7"/>
  <c r="S109" i="7"/>
  <c r="Q109" i="7"/>
  <c r="E109" i="7"/>
  <c r="D109" i="7"/>
  <c r="C109" i="7"/>
  <c r="B109" i="7"/>
  <c r="J108" i="7"/>
  <c r="I108" i="7"/>
  <c r="H108" i="7"/>
  <c r="G108" i="7"/>
  <c r="F108" i="7"/>
  <c r="J107" i="7"/>
  <c r="I107" i="7"/>
  <c r="H107" i="7"/>
  <c r="G107" i="7"/>
  <c r="F107" i="7"/>
  <c r="J106" i="7"/>
  <c r="I106" i="7"/>
  <c r="H106" i="7"/>
  <c r="G106" i="7"/>
  <c r="F106" i="7"/>
  <c r="V105" i="7"/>
  <c r="J110" i="7" s="1"/>
  <c r="T105" i="7"/>
  <c r="R105" i="7"/>
  <c r="U105" i="7"/>
  <c r="S105" i="7"/>
  <c r="Q105" i="7"/>
  <c r="E105" i="7"/>
  <c r="D105" i="7"/>
  <c r="C105" i="7"/>
  <c r="B105" i="7"/>
  <c r="A104" i="7"/>
  <c r="AF101" i="7"/>
  <c r="E98" i="7"/>
  <c r="J97" i="7"/>
  <c r="I97" i="7"/>
  <c r="H97" i="7"/>
  <c r="G97" i="7"/>
  <c r="F97" i="7"/>
  <c r="J96" i="7"/>
  <c r="I96" i="7"/>
  <c r="H96" i="7"/>
  <c r="G96" i="7"/>
  <c r="F96" i="7"/>
  <c r="V95" i="7"/>
  <c r="J98" i="7" s="1"/>
  <c r="T95" i="7"/>
  <c r="R95" i="7"/>
  <c r="U95" i="7"/>
  <c r="S95" i="7"/>
  <c r="Q95" i="7"/>
  <c r="E95" i="7"/>
  <c r="D95" i="7"/>
  <c r="C95" i="7"/>
  <c r="B95" i="7"/>
  <c r="K93" i="7"/>
  <c r="H93" i="7"/>
  <c r="G93" i="7"/>
  <c r="E93" i="7"/>
  <c r="J92" i="7"/>
  <c r="E92" i="7"/>
  <c r="J91" i="7"/>
  <c r="E91" i="7"/>
  <c r="J90" i="7"/>
  <c r="I94" i="7" s="1"/>
  <c r="E90" i="7"/>
  <c r="J89" i="7"/>
  <c r="I89" i="7"/>
  <c r="H89" i="7"/>
  <c r="G89" i="7"/>
  <c r="F89" i="7"/>
  <c r="J88" i="7"/>
  <c r="I88" i="7"/>
  <c r="H88" i="7"/>
  <c r="G88" i="7"/>
  <c r="F88" i="7"/>
  <c r="J87" i="7"/>
  <c r="I87" i="7"/>
  <c r="H87" i="7"/>
  <c r="G87" i="7"/>
  <c r="F87" i="7"/>
  <c r="V86" i="7"/>
  <c r="T86" i="7"/>
  <c r="R86" i="7"/>
  <c r="U86" i="7"/>
  <c r="S86" i="7"/>
  <c r="Q86" i="7"/>
  <c r="E86" i="7"/>
  <c r="D86" i="7"/>
  <c r="C86" i="7"/>
  <c r="B86" i="7"/>
  <c r="K84" i="7"/>
  <c r="H84" i="7"/>
  <c r="G84" i="7"/>
  <c r="E84" i="7"/>
  <c r="E83" i="7"/>
  <c r="E82" i="7"/>
  <c r="J81" i="7"/>
  <c r="I81" i="7"/>
  <c r="H81" i="7"/>
  <c r="G81" i="7"/>
  <c r="F81" i="7"/>
  <c r="V80" i="7"/>
  <c r="T80" i="7"/>
  <c r="J83" i="7" s="1"/>
  <c r="R80" i="7"/>
  <c r="J82" i="7" s="1"/>
  <c r="U80" i="7"/>
  <c r="S80" i="7"/>
  <c r="Q80" i="7"/>
  <c r="E80" i="7"/>
  <c r="D80" i="7"/>
  <c r="C80" i="7"/>
  <c r="B80" i="7"/>
  <c r="K78" i="7"/>
  <c r="H78" i="7"/>
  <c r="G78" i="7"/>
  <c r="E78" i="7"/>
  <c r="E77" i="7"/>
  <c r="E76" i="7"/>
  <c r="E75" i="7"/>
  <c r="J74" i="7"/>
  <c r="I74" i="7"/>
  <c r="H74" i="7"/>
  <c r="G74" i="7"/>
  <c r="F74" i="7"/>
  <c r="J73" i="7"/>
  <c r="I73" i="7"/>
  <c r="H73" i="7"/>
  <c r="G73" i="7"/>
  <c r="F73" i="7"/>
  <c r="J72" i="7"/>
  <c r="I72" i="7"/>
  <c r="H72" i="7"/>
  <c r="G72" i="7"/>
  <c r="F72" i="7"/>
  <c r="J71" i="7"/>
  <c r="I71" i="7"/>
  <c r="H71" i="7"/>
  <c r="G71" i="7"/>
  <c r="F71" i="7"/>
  <c r="V70" i="7"/>
  <c r="J77" i="7" s="1"/>
  <c r="T70" i="7"/>
  <c r="J76" i="7" s="1"/>
  <c r="R70" i="7"/>
  <c r="J75" i="7" s="1"/>
  <c r="U70" i="7"/>
  <c r="S70" i="7"/>
  <c r="Q70" i="7"/>
  <c r="E70" i="7"/>
  <c r="D70" i="7"/>
  <c r="C70" i="7"/>
  <c r="B70" i="7"/>
  <c r="K68" i="7"/>
  <c r="H68" i="7"/>
  <c r="G68" i="7"/>
  <c r="E68" i="7"/>
  <c r="J67" i="7"/>
  <c r="E67" i="7"/>
  <c r="J66" i="7"/>
  <c r="E66" i="7"/>
  <c r="J65" i="7"/>
  <c r="I69" i="7" s="1"/>
  <c r="I65" i="7"/>
  <c r="H65" i="7"/>
  <c r="G65" i="7"/>
  <c r="F65" i="7"/>
  <c r="J64" i="7"/>
  <c r="I64" i="7"/>
  <c r="H64" i="7"/>
  <c r="G64" i="7"/>
  <c r="F64" i="7"/>
  <c r="V63" i="7"/>
  <c r="T63" i="7"/>
  <c r="R63" i="7"/>
  <c r="U63" i="7"/>
  <c r="S63" i="7"/>
  <c r="Q63" i="7"/>
  <c r="E63" i="7"/>
  <c r="D63" i="7"/>
  <c r="C63" i="7"/>
  <c r="B63" i="7"/>
  <c r="K61" i="7"/>
  <c r="H61" i="7"/>
  <c r="G61" i="7"/>
  <c r="E61" i="7"/>
  <c r="E60" i="7"/>
  <c r="E59" i="7"/>
  <c r="J58" i="7"/>
  <c r="I58" i="7"/>
  <c r="H58" i="7"/>
  <c r="G58" i="7"/>
  <c r="F58" i="7"/>
  <c r="V57" i="7"/>
  <c r="T57" i="7"/>
  <c r="J60" i="7" s="1"/>
  <c r="R57" i="7"/>
  <c r="J59" i="7" s="1"/>
  <c r="I62" i="7" s="1"/>
  <c r="U57" i="7"/>
  <c r="S57" i="7"/>
  <c r="Q57" i="7"/>
  <c r="E57" i="7"/>
  <c r="D57" i="7"/>
  <c r="C57" i="7"/>
  <c r="B57" i="7"/>
  <c r="E55" i="7"/>
  <c r="J54" i="7"/>
  <c r="I54" i="7"/>
  <c r="H54" i="7"/>
  <c r="F54" i="7"/>
  <c r="V54" i="7"/>
  <c r="T54" i="7"/>
  <c r="R54" i="7"/>
  <c r="U54" i="7"/>
  <c r="S54" i="7"/>
  <c r="Q54" i="7"/>
  <c r="E54" i="7"/>
  <c r="D54" i="7"/>
  <c r="C54" i="7"/>
  <c r="B54" i="7"/>
  <c r="J53" i="7"/>
  <c r="I53" i="7"/>
  <c r="H53" i="7"/>
  <c r="G53" i="7"/>
  <c r="F53" i="7"/>
  <c r="J52" i="7"/>
  <c r="I52" i="7"/>
  <c r="H52" i="7"/>
  <c r="G52" i="7"/>
  <c r="F52" i="7"/>
  <c r="J51" i="7"/>
  <c r="I51" i="7"/>
  <c r="H51" i="7"/>
  <c r="G51" i="7"/>
  <c r="F51" i="7"/>
  <c r="C50" i="7"/>
  <c r="V49" i="7"/>
  <c r="J55" i="7" s="1"/>
  <c r="I56" i="7" s="1"/>
  <c r="T49" i="7"/>
  <c r="R49" i="7"/>
  <c r="U49" i="7"/>
  <c r="S49" i="7"/>
  <c r="Q49" i="7"/>
  <c r="E49" i="7"/>
  <c r="D49" i="7"/>
  <c r="C49" i="7"/>
  <c r="B49" i="7"/>
  <c r="K47" i="7"/>
  <c r="H47" i="7"/>
  <c r="G47" i="7"/>
  <c r="E47" i="7"/>
  <c r="E46" i="7"/>
  <c r="E45" i="7"/>
  <c r="J44" i="7"/>
  <c r="I48" i="7" s="1"/>
  <c r="I44" i="7"/>
  <c r="H44" i="7"/>
  <c r="G44" i="7"/>
  <c r="F44" i="7"/>
  <c r="V43" i="7"/>
  <c r="T43" i="7"/>
  <c r="J46" i="7" s="1"/>
  <c r="R43" i="7"/>
  <c r="J45" i="7" s="1"/>
  <c r="U43" i="7"/>
  <c r="S43" i="7"/>
  <c r="Q43" i="7"/>
  <c r="E43" i="7"/>
  <c r="D43" i="7"/>
  <c r="C43" i="7"/>
  <c r="B43" i="7"/>
  <c r="E41" i="7"/>
  <c r="J40" i="7"/>
  <c r="I40" i="7"/>
  <c r="H40" i="7"/>
  <c r="G40" i="7"/>
  <c r="F40" i="7"/>
  <c r="J39" i="7"/>
  <c r="I39" i="7"/>
  <c r="H39" i="7"/>
  <c r="G39" i="7"/>
  <c r="F39" i="7"/>
  <c r="V38" i="7"/>
  <c r="J41" i="7" s="1"/>
  <c r="T38" i="7"/>
  <c r="R38" i="7"/>
  <c r="U38" i="7"/>
  <c r="S38" i="7"/>
  <c r="Q38" i="7"/>
  <c r="E38" i="7"/>
  <c r="D38" i="7"/>
  <c r="C38" i="7"/>
  <c r="B38" i="7"/>
  <c r="A37" i="7"/>
  <c r="A35" i="7"/>
  <c r="A33" i="7"/>
  <c r="A19" i="7"/>
  <c r="A16" i="7"/>
  <c r="A13" i="7"/>
  <c r="A10" i="7"/>
  <c r="G6" i="7"/>
  <c r="B6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1" i="3"/>
  <c r="Y1" i="3"/>
  <c r="CW1" i="3"/>
  <c r="CX1" i="3"/>
  <c r="CY1" i="3"/>
  <c r="CZ1" i="3"/>
  <c r="DB1" i="3" s="1"/>
  <c r="DA1" i="3"/>
  <c r="DC1" i="3"/>
  <c r="A2" i="3"/>
  <c r="Y2" i="3"/>
  <c r="CU2" i="3"/>
  <c r="CV2" i="3"/>
  <c r="CX2" i="3"/>
  <c r="CY2" i="3"/>
  <c r="CZ2" i="3"/>
  <c r="DA2" i="3"/>
  <c r="DB2" i="3"/>
  <c r="DC2" i="3"/>
  <c r="DF2" i="3"/>
  <c r="DG2" i="3"/>
  <c r="DH2" i="3"/>
  <c r="DI2" i="3"/>
  <c r="DJ2" i="3"/>
  <c r="A3" i="3"/>
  <c r="Y3" i="3"/>
  <c r="CY3" i="3"/>
  <c r="CZ3" i="3"/>
  <c r="DA3" i="3"/>
  <c r="DB3" i="3"/>
  <c r="DC3" i="3"/>
  <c r="A4" i="3"/>
  <c r="Y4" i="3"/>
  <c r="CY4" i="3"/>
  <c r="CZ4" i="3"/>
  <c r="DA4" i="3"/>
  <c r="DB4" i="3"/>
  <c r="DC4" i="3"/>
  <c r="A5" i="3"/>
  <c r="Y5" i="3"/>
  <c r="CU5" i="3"/>
  <c r="CY5" i="3"/>
  <c r="CZ5" i="3"/>
  <c r="DB5" i="3" s="1"/>
  <c r="DA5" i="3"/>
  <c r="DC5" i="3"/>
  <c r="A6" i="3"/>
  <c r="Y6" i="3"/>
  <c r="CU6" i="3"/>
  <c r="CY6" i="3"/>
  <c r="CZ6" i="3"/>
  <c r="DA6" i="3"/>
  <c r="DB6" i="3"/>
  <c r="DC6" i="3"/>
  <c r="A7" i="3"/>
  <c r="Y7" i="3"/>
  <c r="CX7" i="3"/>
  <c r="CY7" i="3"/>
  <c r="CZ7" i="3"/>
  <c r="DA7" i="3"/>
  <c r="DB7" i="3"/>
  <c r="DC7" i="3"/>
  <c r="A8" i="3"/>
  <c r="Y8" i="3"/>
  <c r="CX8" i="3" s="1"/>
  <c r="CU8" i="3"/>
  <c r="CV8" i="3"/>
  <c r="CY8" i="3"/>
  <c r="CZ8" i="3"/>
  <c r="DB8" i="3" s="1"/>
  <c r="DA8" i="3"/>
  <c r="DC8" i="3"/>
  <c r="A9" i="3"/>
  <c r="Y9" i="3"/>
  <c r="CX9" i="3" s="1"/>
  <c r="DF9" i="3" s="1"/>
  <c r="CW9" i="3"/>
  <c r="CY9" i="3"/>
  <c r="CZ9" i="3"/>
  <c r="DA9" i="3"/>
  <c r="DB9" i="3"/>
  <c r="DC9" i="3"/>
  <c r="DG9" i="3"/>
  <c r="DH9" i="3"/>
  <c r="DI9" i="3"/>
  <c r="DJ9" i="3"/>
  <c r="A10" i="3"/>
  <c r="Y10" i="3"/>
  <c r="CX10" i="3" s="1"/>
  <c r="DI10" i="3" s="1"/>
  <c r="CY10" i="3"/>
  <c r="CZ10" i="3"/>
  <c r="DA10" i="3"/>
  <c r="DB10" i="3"/>
  <c r="DC10" i="3"/>
  <c r="DF10" i="3"/>
  <c r="DJ10" i="3" s="1"/>
  <c r="DG10" i="3"/>
  <c r="DH10" i="3"/>
  <c r="A11" i="3"/>
  <c r="Y11" i="3"/>
  <c r="CV11" i="3" s="1"/>
  <c r="CU11" i="3"/>
  <c r="CX11" i="3"/>
  <c r="DI11" i="3" s="1"/>
  <c r="DJ11" i="3" s="1"/>
  <c r="CY11" i="3"/>
  <c r="CZ11" i="3"/>
  <c r="DA11" i="3"/>
  <c r="DB11" i="3"/>
  <c r="DC11" i="3"/>
  <c r="DF11" i="3"/>
  <c r="DG11" i="3"/>
  <c r="DH11" i="3"/>
  <c r="A12" i="3"/>
  <c r="Y12" i="3"/>
  <c r="CU12" i="3"/>
  <c r="CV12" i="3"/>
  <c r="CX12" i="3"/>
  <c r="CY12" i="3"/>
  <c r="CZ12" i="3"/>
  <c r="DA12" i="3"/>
  <c r="DB12" i="3"/>
  <c r="DC12" i="3"/>
  <c r="DF12" i="3"/>
  <c r="DI12" i="3"/>
  <c r="DJ12" i="3"/>
  <c r="A13" i="3"/>
  <c r="Y13" i="3"/>
  <c r="CW13" i="3"/>
  <c r="CX13" i="3"/>
  <c r="DI13" i="3" s="1"/>
  <c r="CY13" i="3"/>
  <c r="CZ13" i="3"/>
  <c r="DA13" i="3"/>
  <c r="DB13" i="3"/>
  <c r="DC13" i="3"/>
  <c r="DF13" i="3"/>
  <c r="DG13" i="3"/>
  <c r="DJ13" i="3" s="1"/>
  <c r="DH13" i="3"/>
  <c r="A14" i="3"/>
  <c r="Y14" i="3"/>
  <c r="CW14" i="3"/>
  <c r="CX14" i="3"/>
  <c r="DI14" i="3" s="1"/>
  <c r="CY14" i="3"/>
  <c r="CZ14" i="3"/>
  <c r="DB14" i="3" s="1"/>
  <c r="DA14" i="3"/>
  <c r="DC14" i="3"/>
  <c r="DF14" i="3"/>
  <c r="DG14" i="3"/>
  <c r="DJ14" i="3" s="1"/>
  <c r="DH14" i="3"/>
  <c r="A15" i="3"/>
  <c r="Y15" i="3"/>
  <c r="CW15" i="3"/>
  <c r="CX15" i="3"/>
  <c r="CY15" i="3"/>
  <c r="CZ15" i="3"/>
  <c r="DB15" i="3" s="1"/>
  <c r="DA15" i="3"/>
  <c r="DC15" i="3"/>
  <c r="DF15" i="3"/>
  <c r="DG15" i="3"/>
  <c r="DH15" i="3"/>
  <c r="DI15" i="3"/>
  <c r="DJ15" i="3"/>
  <c r="A16" i="3"/>
  <c r="Y16" i="3"/>
  <c r="CX16" i="3"/>
  <c r="CY16" i="3"/>
  <c r="CZ16" i="3"/>
  <c r="DA16" i="3"/>
  <c r="DB16" i="3"/>
  <c r="DC16" i="3"/>
  <c r="DF16" i="3"/>
  <c r="DJ16" i="3" s="1"/>
  <c r="DG16" i="3"/>
  <c r="A17" i="3"/>
  <c r="Y17" i="3"/>
  <c r="CU17" i="3"/>
  <c r="CV17" i="3"/>
  <c r="CX17" i="3"/>
  <c r="CY17" i="3"/>
  <c r="CZ17" i="3"/>
  <c r="DB17" i="3" s="1"/>
  <c r="DA17" i="3"/>
  <c r="DC17" i="3"/>
  <c r="A18" i="3"/>
  <c r="Y18" i="3"/>
  <c r="CW18" i="3"/>
  <c r="CX18" i="3"/>
  <c r="CY18" i="3"/>
  <c r="CZ18" i="3"/>
  <c r="DA18" i="3"/>
  <c r="DB18" i="3"/>
  <c r="DC18" i="3"/>
  <c r="DI18" i="3"/>
  <c r="A19" i="3"/>
  <c r="Y19" i="3"/>
  <c r="CX19" i="3"/>
  <c r="CY19" i="3"/>
  <c r="CZ19" i="3"/>
  <c r="DB19" i="3" s="1"/>
  <c r="DA19" i="3"/>
  <c r="DC19" i="3"/>
  <c r="A20" i="3"/>
  <c r="Y20" i="3"/>
  <c r="CX20" i="3" s="1"/>
  <c r="CW20" i="3"/>
  <c r="CY20" i="3"/>
  <c r="CZ20" i="3"/>
  <c r="DA20" i="3"/>
  <c r="DB20" i="3"/>
  <c r="DC20" i="3"/>
  <c r="DF20" i="3"/>
  <c r="DG20" i="3"/>
  <c r="DH20" i="3"/>
  <c r="DI20" i="3"/>
  <c r="DJ20" i="3"/>
  <c r="A21" i="3"/>
  <c r="Y21" i="3"/>
  <c r="CX21" i="3"/>
  <c r="CY21" i="3"/>
  <c r="CZ21" i="3"/>
  <c r="DA21" i="3"/>
  <c r="DB21" i="3"/>
  <c r="DC21" i="3"/>
  <c r="A22" i="3"/>
  <c r="Y22" i="3"/>
  <c r="CX22" i="3"/>
  <c r="CY22" i="3"/>
  <c r="CZ22" i="3"/>
  <c r="DA22" i="3"/>
  <c r="DB22" i="3"/>
  <c r="DC22" i="3"/>
  <c r="DF22" i="3"/>
  <c r="DG22" i="3"/>
  <c r="DH22" i="3"/>
  <c r="DI22" i="3"/>
  <c r="DJ22" i="3"/>
  <c r="A23" i="3"/>
  <c r="Y23" i="3"/>
  <c r="CU23" i="3"/>
  <c r="CY23" i="3"/>
  <c r="CZ23" i="3"/>
  <c r="DB23" i="3" s="1"/>
  <c r="DA23" i="3"/>
  <c r="DC23" i="3"/>
  <c r="A24" i="3"/>
  <c r="Y24" i="3"/>
  <c r="CX24" i="3" s="1"/>
  <c r="CW24" i="3"/>
  <c r="CY24" i="3"/>
  <c r="CZ24" i="3"/>
  <c r="DA24" i="3"/>
  <c r="DB24" i="3"/>
  <c r="DC24" i="3"/>
  <c r="DF24" i="3"/>
  <c r="DG24" i="3"/>
  <c r="DJ24" i="3" s="1"/>
  <c r="DH24" i="3"/>
  <c r="DI24" i="3"/>
  <c r="A25" i="3"/>
  <c r="Y25" i="3"/>
  <c r="CU25" i="3"/>
  <c r="CV25" i="3"/>
  <c r="CX25" i="3"/>
  <c r="CY25" i="3"/>
  <c r="CZ25" i="3"/>
  <c r="DA25" i="3"/>
  <c r="DB25" i="3"/>
  <c r="DC25" i="3"/>
  <c r="DF25" i="3"/>
  <c r="DG25" i="3"/>
  <c r="DH25" i="3"/>
  <c r="DI25" i="3"/>
  <c r="DJ25" i="3"/>
  <c r="A26" i="3"/>
  <c r="Y26" i="3"/>
  <c r="CU26" i="3"/>
  <c r="CV26" i="3"/>
  <c r="CX26" i="3"/>
  <c r="CY26" i="3"/>
  <c r="CZ26" i="3"/>
  <c r="DB26" i="3" s="1"/>
  <c r="DA26" i="3"/>
  <c r="DC26" i="3"/>
  <c r="DI26" i="3"/>
  <c r="DJ26" i="3" s="1"/>
  <c r="A27" i="3"/>
  <c r="Y27" i="3"/>
  <c r="CW27" i="3"/>
  <c r="CX27" i="3"/>
  <c r="CY27" i="3"/>
  <c r="CZ27" i="3"/>
  <c r="DA27" i="3"/>
  <c r="DB27" i="3"/>
  <c r="DC27" i="3"/>
  <c r="DI27" i="3"/>
  <c r="A28" i="3"/>
  <c r="Y28" i="3"/>
  <c r="CX28" i="3"/>
  <c r="CY28" i="3"/>
  <c r="CZ28" i="3"/>
  <c r="DA28" i="3"/>
  <c r="DB28" i="3"/>
  <c r="DC28" i="3"/>
  <c r="DF28" i="3"/>
  <c r="DJ28" i="3" s="1"/>
  <c r="DG28" i="3"/>
  <c r="DH28" i="3"/>
  <c r="DI28" i="3"/>
  <c r="A29" i="3"/>
  <c r="Y29" i="3"/>
  <c r="CU29" i="3"/>
  <c r="CY29" i="3"/>
  <c r="CZ29" i="3"/>
  <c r="DA29" i="3"/>
  <c r="DB29" i="3"/>
  <c r="DC29" i="3"/>
  <c r="A30" i="3"/>
  <c r="Y30" i="3"/>
  <c r="CX30" i="3"/>
  <c r="CY30" i="3"/>
  <c r="CZ30" i="3"/>
  <c r="DA30" i="3"/>
  <c r="DB30" i="3"/>
  <c r="DC30" i="3"/>
  <c r="DF30" i="3"/>
  <c r="DJ30" i="3" s="1"/>
  <c r="A31" i="3"/>
  <c r="Y31" i="3"/>
  <c r="CU31" i="3"/>
  <c r="CY31" i="3"/>
  <c r="CZ31" i="3"/>
  <c r="DA31" i="3"/>
  <c r="DB31" i="3"/>
  <c r="DC31" i="3"/>
  <c r="A32" i="3"/>
  <c r="Y32" i="3"/>
  <c r="CW32" i="3"/>
  <c r="CX32" i="3"/>
  <c r="CY32" i="3"/>
  <c r="CZ32" i="3"/>
  <c r="DA32" i="3"/>
  <c r="DB32" i="3"/>
  <c r="DC32" i="3"/>
  <c r="A33" i="3"/>
  <c r="Y33" i="3"/>
  <c r="CU33" i="3"/>
  <c r="CY33" i="3"/>
  <c r="CZ33" i="3"/>
  <c r="DA33" i="3"/>
  <c r="DB33" i="3"/>
  <c r="DC33" i="3"/>
  <c r="A34" i="3"/>
  <c r="Y34" i="3"/>
  <c r="CX34" i="3" s="1"/>
  <c r="CW34" i="3"/>
  <c r="CY34" i="3"/>
  <c r="CZ34" i="3"/>
  <c r="DA34" i="3"/>
  <c r="DB34" i="3"/>
  <c r="DC34" i="3"/>
  <c r="DF34" i="3"/>
  <c r="A35" i="3"/>
  <c r="Y35" i="3"/>
  <c r="CX35" i="3"/>
  <c r="DI35" i="3" s="1"/>
  <c r="CY35" i="3"/>
  <c r="CZ35" i="3"/>
  <c r="DA35" i="3"/>
  <c r="DB35" i="3"/>
  <c r="DC35" i="3"/>
  <c r="DF35" i="3"/>
  <c r="DJ35" i="3" s="1"/>
  <c r="DG35" i="3"/>
  <c r="DH35" i="3"/>
  <c r="A36" i="3"/>
  <c r="Y36" i="3"/>
  <c r="CU36" i="3"/>
  <c r="CV36" i="3"/>
  <c r="CX36" i="3"/>
  <c r="CY36" i="3"/>
  <c r="CZ36" i="3"/>
  <c r="DA36" i="3"/>
  <c r="DB36" i="3"/>
  <c r="DC36" i="3"/>
  <c r="A37" i="3"/>
  <c r="Y37" i="3"/>
  <c r="CX37" i="3"/>
  <c r="CY37" i="3"/>
  <c r="CZ37" i="3"/>
  <c r="DB37" i="3" s="1"/>
  <c r="DA37" i="3"/>
  <c r="DC37" i="3"/>
  <c r="DF37" i="3"/>
  <c r="DG37" i="3"/>
  <c r="DH37" i="3"/>
  <c r="DI37" i="3"/>
  <c r="DJ37" i="3"/>
  <c r="D12" i="1"/>
  <c r="B18" i="1"/>
  <c r="C18" i="1"/>
  <c r="D18" i="1"/>
  <c r="E18" i="1"/>
  <c r="F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B22" i="1"/>
  <c r="C22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B26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F30" i="1"/>
  <c r="G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C32" i="1"/>
  <c r="D32" i="1"/>
  <c r="Q32" i="1"/>
  <c r="R32" i="1"/>
  <c r="AC32" i="1"/>
  <c r="CQ32" i="1" s="1"/>
  <c r="P32" i="1" s="1"/>
  <c r="AE32" i="1"/>
  <c r="CR32" i="1" s="1"/>
  <c r="AF32" i="1"/>
  <c r="AG32" i="1"/>
  <c r="AH32" i="1"/>
  <c r="AI32" i="1"/>
  <c r="CW32" i="1" s="1"/>
  <c r="V32" i="1" s="1"/>
  <c r="AJ32" i="1"/>
  <c r="CX32" i="1" s="1"/>
  <c r="W32" i="1" s="1"/>
  <c r="CS32" i="1"/>
  <c r="CT32" i="1"/>
  <c r="S32" i="1" s="1"/>
  <c r="CU32" i="1"/>
  <c r="T32" i="1" s="1"/>
  <c r="CV32" i="1"/>
  <c r="U32" i="1" s="1"/>
  <c r="CY32" i="1"/>
  <c r="X32" i="1" s="1"/>
  <c r="GL32" i="1"/>
  <c r="GN32" i="1"/>
  <c r="GO32" i="1"/>
  <c r="GV32" i="1"/>
  <c r="HC32" i="1"/>
  <c r="GX32" i="1" s="1"/>
  <c r="C33" i="1"/>
  <c r="D33" i="1"/>
  <c r="AC33" i="1"/>
  <c r="AD33" i="1"/>
  <c r="AE33" i="1"/>
  <c r="AF33" i="1"/>
  <c r="AG33" i="1"/>
  <c r="CU33" i="1" s="1"/>
  <c r="T33" i="1" s="1"/>
  <c r="AH33" i="1"/>
  <c r="CV33" i="1" s="1"/>
  <c r="U33" i="1" s="1"/>
  <c r="AI33" i="1"/>
  <c r="CW33" i="1" s="1"/>
  <c r="V33" i="1" s="1"/>
  <c r="AJ33" i="1"/>
  <c r="CX33" i="1" s="1"/>
  <c r="W33" i="1" s="1"/>
  <c r="CR33" i="1"/>
  <c r="Q33" i="1" s="1"/>
  <c r="CS33" i="1"/>
  <c r="R33" i="1" s="1"/>
  <c r="CT33" i="1"/>
  <c r="S33" i="1" s="1"/>
  <c r="CY33" i="1"/>
  <c r="X33" i="1" s="1"/>
  <c r="CZ33" i="1"/>
  <c r="Y33" i="1" s="1"/>
  <c r="GK33" i="1"/>
  <c r="GL33" i="1"/>
  <c r="GN33" i="1"/>
  <c r="GO33" i="1"/>
  <c r="GV33" i="1"/>
  <c r="HC33" i="1"/>
  <c r="GX33" i="1" s="1"/>
  <c r="C34" i="1"/>
  <c r="D34" i="1"/>
  <c r="I34" i="1"/>
  <c r="K34" i="1"/>
  <c r="AC34" i="1"/>
  <c r="AE34" i="1"/>
  <c r="AF34" i="1"/>
  <c r="CT34" i="1" s="1"/>
  <c r="S34" i="1" s="1"/>
  <c r="AG34" i="1"/>
  <c r="CU34" i="1" s="1"/>
  <c r="T34" i="1" s="1"/>
  <c r="AH34" i="1"/>
  <c r="CV34" i="1" s="1"/>
  <c r="U34" i="1" s="1"/>
  <c r="AI34" i="1"/>
  <c r="CW34" i="1" s="1"/>
  <c r="V34" i="1" s="1"/>
  <c r="AJ34" i="1"/>
  <c r="CX34" i="1" s="1"/>
  <c r="W34" i="1" s="1"/>
  <c r="GL34" i="1"/>
  <c r="GN34" i="1"/>
  <c r="GO34" i="1"/>
  <c r="GV34" i="1"/>
  <c r="HC34" i="1"/>
  <c r="GX34" i="1" s="1"/>
  <c r="I35" i="1"/>
  <c r="GX35" i="1" s="1"/>
  <c r="P35" i="1"/>
  <c r="Q35" i="1"/>
  <c r="R35" i="1"/>
  <c r="GK35" i="1" s="1"/>
  <c r="S35" i="1"/>
  <c r="CY35" i="1" s="1"/>
  <c r="X35" i="1" s="1"/>
  <c r="T35" i="1"/>
  <c r="U35" i="1"/>
  <c r="AC35" i="1"/>
  <c r="AB35" i="1" s="1"/>
  <c r="AD35" i="1"/>
  <c r="AE35" i="1"/>
  <c r="AF35" i="1"/>
  <c r="AG35" i="1"/>
  <c r="AH35" i="1"/>
  <c r="AI35" i="1"/>
  <c r="AJ35" i="1"/>
  <c r="CQ35" i="1"/>
  <c r="CR35" i="1"/>
  <c r="CS35" i="1"/>
  <c r="CT35" i="1"/>
  <c r="CU35" i="1"/>
  <c r="CV35" i="1"/>
  <c r="CW35" i="1"/>
  <c r="V35" i="1" s="1"/>
  <c r="CX35" i="1"/>
  <c r="W35" i="1" s="1"/>
  <c r="CZ35" i="1"/>
  <c r="Y35" i="1" s="1"/>
  <c r="GL35" i="1"/>
  <c r="GN35" i="1"/>
  <c r="GO35" i="1"/>
  <c r="GV35" i="1"/>
  <c r="HC35" i="1" s="1"/>
  <c r="C36" i="1"/>
  <c r="D36" i="1"/>
  <c r="S36" i="1"/>
  <c r="T36" i="1"/>
  <c r="X36" i="1"/>
  <c r="Y36" i="1"/>
  <c r="AC36" i="1"/>
  <c r="CQ36" i="1" s="1"/>
  <c r="P36" i="1" s="1"/>
  <c r="AD36" i="1"/>
  <c r="AE36" i="1"/>
  <c r="AF36" i="1"/>
  <c r="AG36" i="1"/>
  <c r="AH36" i="1"/>
  <c r="CV36" i="1" s="1"/>
  <c r="U36" i="1" s="1"/>
  <c r="AI36" i="1"/>
  <c r="CW36" i="1" s="1"/>
  <c r="V36" i="1" s="1"/>
  <c r="AJ36" i="1"/>
  <c r="CX36" i="1" s="1"/>
  <c r="W36" i="1" s="1"/>
  <c r="CP36" i="1"/>
  <c r="O36" i="1" s="1"/>
  <c r="GM36" i="1" s="1"/>
  <c r="GP36" i="1" s="1"/>
  <c r="CR36" i="1"/>
  <c r="Q36" i="1" s="1"/>
  <c r="CS36" i="1"/>
  <c r="R36" i="1" s="1"/>
  <c r="CT36" i="1"/>
  <c r="CU36" i="1"/>
  <c r="CY36" i="1"/>
  <c r="CZ36" i="1"/>
  <c r="GK36" i="1"/>
  <c r="GL36" i="1"/>
  <c r="GN36" i="1"/>
  <c r="GO36" i="1"/>
  <c r="GV36" i="1"/>
  <c r="HC36" i="1"/>
  <c r="GX36" i="1" s="1"/>
  <c r="C37" i="1"/>
  <c r="D37" i="1"/>
  <c r="P37" i="1"/>
  <c r="CP37" i="1" s="1"/>
  <c r="O37" i="1" s="1"/>
  <c r="Q37" i="1"/>
  <c r="R37" i="1"/>
  <c r="GK37" i="1" s="1"/>
  <c r="S37" i="1"/>
  <c r="W37" i="1"/>
  <c r="AC37" i="1"/>
  <c r="AE37" i="1"/>
  <c r="AD37" i="1" s="1"/>
  <c r="AF37" i="1"/>
  <c r="AG37" i="1"/>
  <c r="AH37" i="1"/>
  <c r="AI37" i="1"/>
  <c r="AJ37" i="1"/>
  <c r="CQ37" i="1"/>
  <c r="CR37" i="1"/>
  <c r="CS37" i="1"/>
  <c r="CT37" i="1"/>
  <c r="CU37" i="1"/>
  <c r="T37" i="1" s="1"/>
  <c r="CV37" i="1"/>
  <c r="U37" i="1" s="1"/>
  <c r="CW37" i="1"/>
  <c r="V37" i="1" s="1"/>
  <c r="CX37" i="1"/>
  <c r="GL37" i="1"/>
  <c r="GN37" i="1"/>
  <c r="GO37" i="1"/>
  <c r="GV37" i="1"/>
  <c r="HC37" i="1" s="1"/>
  <c r="GX37" i="1"/>
  <c r="C38" i="1"/>
  <c r="D38" i="1"/>
  <c r="P38" i="1"/>
  <c r="S38" i="1"/>
  <c r="T38" i="1"/>
  <c r="U38" i="1"/>
  <c r="V38" i="1"/>
  <c r="W38" i="1"/>
  <c r="AC38" i="1"/>
  <c r="CQ38" i="1" s="1"/>
  <c r="AE38" i="1"/>
  <c r="AF38" i="1"/>
  <c r="AG38" i="1"/>
  <c r="CU38" i="1" s="1"/>
  <c r="AH38" i="1"/>
  <c r="CV38" i="1" s="1"/>
  <c r="AI38" i="1"/>
  <c r="AJ38" i="1"/>
  <c r="CT38" i="1"/>
  <c r="CW38" i="1"/>
  <c r="CX38" i="1"/>
  <c r="GL38" i="1"/>
  <c r="GN38" i="1"/>
  <c r="GO38" i="1"/>
  <c r="CC43" i="1" s="1"/>
  <c r="GV38" i="1"/>
  <c r="HC38" i="1" s="1"/>
  <c r="GX38" i="1" s="1"/>
  <c r="C39" i="1"/>
  <c r="D39" i="1"/>
  <c r="P39" i="1"/>
  <c r="U39" i="1"/>
  <c r="AC39" i="1"/>
  <c r="CQ39" i="1" s="1"/>
  <c r="AE39" i="1"/>
  <c r="CR39" i="1" s="1"/>
  <c r="Q39" i="1" s="1"/>
  <c r="AF39" i="1"/>
  <c r="AG39" i="1"/>
  <c r="AH39" i="1"/>
  <c r="CV39" i="1" s="1"/>
  <c r="AI39" i="1"/>
  <c r="CW39" i="1" s="1"/>
  <c r="V39" i="1" s="1"/>
  <c r="AJ39" i="1"/>
  <c r="CX39" i="1" s="1"/>
  <c r="W39" i="1" s="1"/>
  <c r="CS39" i="1"/>
  <c r="R39" i="1" s="1"/>
  <c r="GK39" i="1" s="1"/>
  <c r="CT39" i="1"/>
  <c r="S39" i="1" s="1"/>
  <c r="CU39" i="1"/>
  <c r="T39" i="1" s="1"/>
  <c r="GL39" i="1"/>
  <c r="GN39" i="1"/>
  <c r="GO39" i="1"/>
  <c r="GV39" i="1"/>
  <c r="HC39" i="1"/>
  <c r="GX39" i="1" s="1"/>
  <c r="C40" i="1"/>
  <c r="D40" i="1"/>
  <c r="S40" i="1"/>
  <c r="CY40" i="1" s="1"/>
  <c r="X40" i="1" s="1"/>
  <c r="AC40" i="1"/>
  <c r="CQ40" i="1" s="1"/>
  <c r="P40" i="1" s="1"/>
  <c r="AE40" i="1"/>
  <c r="AF40" i="1"/>
  <c r="CT40" i="1" s="1"/>
  <c r="AG40" i="1"/>
  <c r="AH40" i="1"/>
  <c r="AI40" i="1"/>
  <c r="AJ40" i="1"/>
  <c r="CU40" i="1"/>
  <c r="T40" i="1" s="1"/>
  <c r="CV40" i="1"/>
  <c r="U40" i="1" s="1"/>
  <c r="CW40" i="1"/>
  <c r="V40" i="1" s="1"/>
  <c r="CX40" i="1"/>
  <c r="W40" i="1" s="1"/>
  <c r="GL40" i="1"/>
  <c r="GN40" i="1"/>
  <c r="GO40" i="1"/>
  <c r="GV40" i="1"/>
  <c r="HC40" i="1"/>
  <c r="GX40" i="1" s="1"/>
  <c r="C41" i="1"/>
  <c r="D41" i="1"/>
  <c r="T41" i="1"/>
  <c r="W41" i="1"/>
  <c r="AC41" i="1"/>
  <c r="CQ41" i="1" s="1"/>
  <c r="P41" i="1" s="1"/>
  <c r="CP41" i="1" s="1"/>
  <c r="O41" i="1" s="1"/>
  <c r="AD41" i="1"/>
  <c r="AE41" i="1"/>
  <c r="AF41" i="1"/>
  <c r="AG41" i="1"/>
  <c r="AH41" i="1"/>
  <c r="CV41" i="1" s="1"/>
  <c r="U41" i="1" s="1"/>
  <c r="AI41" i="1"/>
  <c r="CW41" i="1" s="1"/>
  <c r="V41" i="1" s="1"/>
  <c r="AJ41" i="1"/>
  <c r="CX41" i="1" s="1"/>
  <c r="CR41" i="1"/>
  <c r="Q41" i="1" s="1"/>
  <c r="CS41" i="1"/>
  <c r="R41" i="1" s="1"/>
  <c r="GK41" i="1" s="1"/>
  <c r="CT41" i="1"/>
  <c r="S41" i="1" s="1"/>
  <c r="CU41" i="1"/>
  <c r="GL41" i="1"/>
  <c r="GN41" i="1"/>
  <c r="GO41" i="1"/>
  <c r="GV41" i="1"/>
  <c r="HC41" i="1"/>
  <c r="GX41" i="1" s="1"/>
  <c r="B43" i="1"/>
  <c r="B30" i="1" s="1"/>
  <c r="C43" i="1"/>
  <c r="C30" i="1" s="1"/>
  <c r="D43" i="1"/>
  <c r="D30" i="1" s="1"/>
  <c r="F43" i="1"/>
  <c r="G43" i="1"/>
  <c r="A101" i="7" s="1"/>
  <c r="AO43" i="1"/>
  <c r="AO30" i="1" s="1"/>
  <c r="AP43" i="1"/>
  <c r="BX43" i="1"/>
  <c r="BY43" i="1"/>
  <c r="CK43" i="1"/>
  <c r="CL43" i="1"/>
  <c r="CM43" i="1"/>
  <c r="BD43" i="1" s="1"/>
  <c r="D73" i="1"/>
  <c r="B75" i="1"/>
  <c r="C75" i="1"/>
  <c r="E75" i="1"/>
  <c r="Z75" i="1"/>
  <c r="AA75" i="1"/>
  <c r="AM75" i="1"/>
  <c r="AN75" i="1"/>
  <c r="AP75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BQ75" i="1"/>
  <c r="BR75" i="1"/>
  <c r="BS75" i="1"/>
  <c r="BT75" i="1"/>
  <c r="BU75" i="1"/>
  <c r="BV75" i="1"/>
  <c r="BW75" i="1"/>
  <c r="BY75" i="1"/>
  <c r="CL75" i="1"/>
  <c r="CM75" i="1"/>
  <c r="CN75" i="1"/>
  <c r="CO75" i="1"/>
  <c r="CP75" i="1"/>
  <c r="CQ75" i="1"/>
  <c r="CR75" i="1"/>
  <c r="CS75" i="1"/>
  <c r="CT75" i="1"/>
  <c r="CU75" i="1"/>
  <c r="CV75" i="1"/>
  <c r="CW75" i="1"/>
  <c r="CX75" i="1"/>
  <c r="CY75" i="1"/>
  <c r="CZ75" i="1"/>
  <c r="DA75" i="1"/>
  <c r="DB75" i="1"/>
  <c r="DC75" i="1"/>
  <c r="DD75" i="1"/>
  <c r="DE75" i="1"/>
  <c r="DF75" i="1"/>
  <c r="DG75" i="1"/>
  <c r="DH75" i="1"/>
  <c r="DI75" i="1"/>
  <c r="DJ75" i="1"/>
  <c r="DK75" i="1"/>
  <c r="DL75" i="1"/>
  <c r="DM75" i="1"/>
  <c r="DN75" i="1"/>
  <c r="DO75" i="1"/>
  <c r="DP75" i="1"/>
  <c r="DQ75" i="1"/>
  <c r="DR75" i="1"/>
  <c r="DS75" i="1"/>
  <c r="DT75" i="1"/>
  <c r="DU75" i="1"/>
  <c r="DV75" i="1"/>
  <c r="DW75" i="1"/>
  <c r="DX75" i="1"/>
  <c r="DY75" i="1"/>
  <c r="DZ75" i="1"/>
  <c r="EA75" i="1"/>
  <c r="EB75" i="1"/>
  <c r="EC75" i="1"/>
  <c r="ED75" i="1"/>
  <c r="EE75" i="1"/>
  <c r="EF75" i="1"/>
  <c r="EG75" i="1"/>
  <c r="EH75" i="1"/>
  <c r="EI75" i="1"/>
  <c r="EJ75" i="1"/>
  <c r="EK75" i="1"/>
  <c r="EL75" i="1"/>
  <c r="EM75" i="1"/>
  <c r="EN75" i="1"/>
  <c r="EO75" i="1"/>
  <c r="EP75" i="1"/>
  <c r="EQ75" i="1"/>
  <c r="ER75" i="1"/>
  <c r="ES75" i="1"/>
  <c r="ET75" i="1"/>
  <c r="EU75" i="1"/>
  <c r="EV75" i="1"/>
  <c r="EW75" i="1"/>
  <c r="EX75" i="1"/>
  <c r="EY75" i="1"/>
  <c r="EZ75" i="1"/>
  <c r="FA75" i="1"/>
  <c r="FB75" i="1"/>
  <c r="FC75" i="1"/>
  <c r="FD75" i="1"/>
  <c r="FE75" i="1"/>
  <c r="FF75" i="1"/>
  <c r="FG75" i="1"/>
  <c r="FH75" i="1"/>
  <c r="FI75" i="1"/>
  <c r="FJ75" i="1"/>
  <c r="FK75" i="1"/>
  <c r="FL75" i="1"/>
  <c r="FM75" i="1"/>
  <c r="FN75" i="1"/>
  <c r="FO75" i="1"/>
  <c r="FP75" i="1"/>
  <c r="FQ75" i="1"/>
  <c r="FR75" i="1"/>
  <c r="FS75" i="1"/>
  <c r="FT75" i="1"/>
  <c r="FU75" i="1"/>
  <c r="FV75" i="1"/>
  <c r="FW75" i="1"/>
  <c r="FX75" i="1"/>
  <c r="FY75" i="1"/>
  <c r="FZ75" i="1"/>
  <c r="GA75" i="1"/>
  <c r="GB75" i="1"/>
  <c r="GC75" i="1"/>
  <c r="GD75" i="1"/>
  <c r="GE75" i="1"/>
  <c r="GF75" i="1"/>
  <c r="GG75" i="1"/>
  <c r="GH75" i="1"/>
  <c r="GI75" i="1"/>
  <c r="GJ75" i="1"/>
  <c r="GK75" i="1"/>
  <c r="GL75" i="1"/>
  <c r="GM75" i="1"/>
  <c r="GN75" i="1"/>
  <c r="GO75" i="1"/>
  <c r="GP75" i="1"/>
  <c r="GQ75" i="1"/>
  <c r="GR75" i="1"/>
  <c r="GS75" i="1"/>
  <c r="GT75" i="1"/>
  <c r="GU75" i="1"/>
  <c r="GV75" i="1"/>
  <c r="GW75" i="1"/>
  <c r="GX75" i="1"/>
  <c r="C77" i="1"/>
  <c r="D77" i="1"/>
  <c r="S77" i="1"/>
  <c r="T77" i="1"/>
  <c r="U77" i="1"/>
  <c r="AC77" i="1"/>
  <c r="AB77" i="1" s="1"/>
  <c r="AD77" i="1"/>
  <c r="AE77" i="1"/>
  <c r="AF77" i="1"/>
  <c r="AG77" i="1"/>
  <c r="CU77" i="1" s="1"/>
  <c r="AH77" i="1"/>
  <c r="CV77" i="1" s="1"/>
  <c r="AI77" i="1"/>
  <c r="CW77" i="1" s="1"/>
  <c r="V77" i="1" s="1"/>
  <c r="AJ77" i="1"/>
  <c r="CX77" i="1" s="1"/>
  <c r="W77" i="1" s="1"/>
  <c r="AJ83" i="1" s="1"/>
  <c r="CQ77" i="1"/>
  <c r="P77" i="1" s="1"/>
  <c r="CR77" i="1"/>
  <c r="Q77" i="1" s="1"/>
  <c r="CS77" i="1"/>
  <c r="R77" i="1" s="1"/>
  <c r="CT77" i="1"/>
  <c r="GK77" i="1"/>
  <c r="GL77" i="1"/>
  <c r="BZ83" i="1" s="1"/>
  <c r="GN77" i="1"/>
  <c r="CB83" i="1" s="1"/>
  <c r="GO77" i="1"/>
  <c r="GV77" i="1"/>
  <c r="HC77" i="1" s="1"/>
  <c r="GX77" i="1"/>
  <c r="I78" i="1"/>
  <c r="AC78" i="1"/>
  <c r="AE78" i="1"/>
  <c r="AF78" i="1"/>
  <c r="CT78" i="1" s="1"/>
  <c r="S78" i="1" s="1"/>
  <c r="AG78" i="1"/>
  <c r="CU78" i="1" s="1"/>
  <c r="T78" i="1" s="1"/>
  <c r="AH78" i="1"/>
  <c r="CV78" i="1" s="1"/>
  <c r="U78" i="1" s="1"/>
  <c r="AI78" i="1"/>
  <c r="CW78" i="1" s="1"/>
  <c r="V78" i="1" s="1"/>
  <c r="AJ78" i="1"/>
  <c r="CX78" i="1" s="1"/>
  <c r="W78" i="1" s="1"/>
  <c r="CQ78" i="1"/>
  <c r="P78" i="1" s="1"/>
  <c r="GL78" i="1"/>
  <c r="GN78" i="1"/>
  <c r="GO78" i="1"/>
  <c r="GV78" i="1"/>
  <c r="HC78" i="1"/>
  <c r="GX78" i="1" s="1"/>
  <c r="C79" i="1"/>
  <c r="D79" i="1"/>
  <c r="P79" i="1"/>
  <c r="S79" i="1"/>
  <c r="V79" i="1"/>
  <c r="W79" i="1"/>
  <c r="AC79" i="1"/>
  <c r="AE79" i="1"/>
  <c r="AF79" i="1"/>
  <c r="AG79" i="1"/>
  <c r="AH79" i="1"/>
  <c r="AI79" i="1"/>
  <c r="AJ79" i="1"/>
  <c r="CQ79" i="1"/>
  <c r="CT79" i="1"/>
  <c r="CU79" i="1"/>
  <c r="T79" i="1" s="1"/>
  <c r="CV79" i="1"/>
  <c r="U79" i="1" s="1"/>
  <c r="CW79" i="1"/>
  <c r="CX79" i="1"/>
  <c r="GL79" i="1"/>
  <c r="GN79" i="1"/>
  <c r="GO79" i="1"/>
  <c r="GV79" i="1"/>
  <c r="HC79" i="1" s="1"/>
  <c r="GX79" i="1" s="1"/>
  <c r="C80" i="1"/>
  <c r="D80" i="1"/>
  <c r="R80" i="1"/>
  <c r="GK80" i="1" s="1"/>
  <c r="W80" i="1"/>
  <c r="AC80" i="1"/>
  <c r="AD80" i="1"/>
  <c r="AE80" i="1"/>
  <c r="AF80" i="1"/>
  <c r="AG80" i="1"/>
  <c r="CU80" i="1" s="1"/>
  <c r="T80" i="1" s="1"/>
  <c r="AH80" i="1"/>
  <c r="CV80" i="1" s="1"/>
  <c r="U80" i="1" s="1"/>
  <c r="AI80" i="1"/>
  <c r="CW80" i="1" s="1"/>
  <c r="V80" i="1" s="1"/>
  <c r="AJ80" i="1"/>
  <c r="CX80" i="1" s="1"/>
  <c r="CQ80" i="1"/>
  <c r="P80" i="1" s="1"/>
  <c r="CR80" i="1"/>
  <c r="Q80" i="1" s="1"/>
  <c r="CS80" i="1"/>
  <c r="GL80" i="1"/>
  <c r="GN80" i="1"/>
  <c r="GO80" i="1"/>
  <c r="GV80" i="1"/>
  <c r="HC80" i="1"/>
  <c r="GX80" i="1" s="1"/>
  <c r="C81" i="1"/>
  <c r="D81" i="1"/>
  <c r="P81" i="1"/>
  <c r="Q81" i="1"/>
  <c r="R81" i="1"/>
  <c r="S81" i="1"/>
  <c r="AC81" i="1"/>
  <c r="AE81" i="1"/>
  <c r="AD81" i="1" s="1"/>
  <c r="AF81" i="1"/>
  <c r="AG81" i="1"/>
  <c r="AH81" i="1"/>
  <c r="AI81" i="1"/>
  <c r="AJ81" i="1"/>
  <c r="CQ81" i="1"/>
  <c r="CR81" i="1"/>
  <c r="CS81" i="1"/>
  <c r="CT81" i="1"/>
  <c r="CU81" i="1"/>
  <c r="T81" i="1" s="1"/>
  <c r="CV81" i="1"/>
  <c r="U81" i="1" s="1"/>
  <c r="CW81" i="1"/>
  <c r="V81" i="1" s="1"/>
  <c r="CX81" i="1"/>
  <c r="W81" i="1" s="1"/>
  <c r="GK81" i="1"/>
  <c r="GL81" i="1"/>
  <c r="GN81" i="1"/>
  <c r="GO81" i="1"/>
  <c r="GV81" i="1"/>
  <c r="HC81" i="1"/>
  <c r="GX81" i="1" s="1"/>
  <c r="B83" i="1"/>
  <c r="C83" i="1"/>
  <c r="D83" i="1"/>
  <c r="D75" i="1" s="1"/>
  <c r="F83" i="1"/>
  <c r="F75" i="1" s="1"/>
  <c r="G83" i="1"/>
  <c r="G75" i="1" s="1"/>
  <c r="AP83" i="1"/>
  <c r="BB83" i="1"/>
  <c r="BC83" i="1"/>
  <c r="BX83" i="1"/>
  <c r="BY83" i="1"/>
  <c r="CG83" i="1"/>
  <c r="CG75" i="1" s="1"/>
  <c r="CK83" i="1"/>
  <c r="CK75" i="1" s="1"/>
  <c r="CL83" i="1"/>
  <c r="CM83" i="1"/>
  <c r="BD83" i="1" s="1"/>
  <c r="BD75" i="1" s="1"/>
  <c r="F92" i="1"/>
  <c r="D113" i="1"/>
  <c r="E115" i="1"/>
  <c r="Z115" i="1"/>
  <c r="AA115" i="1"/>
  <c r="AM115" i="1"/>
  <c r="AN115" i="1"/>
  <c r="AT115" i="1"/>
  <c r="BB115" i="1"/>
  <c r="BC115" i="1"/>
  <c r="BD115" i="1"/>
  <c r="BE115" i="1"/>
  <c r="BF115" i="1"/>
  <c r="BG115" i="1"/>
  <c r="BH115" i="1"/>
  <c r="BI115" i="1"/>
  <c r="BJ115" i="1"/>
  <c r="BK115" i="1"/>
  <c r="BL115" i="1"/>
  <c r="BM115" i="1"/>
  <c r="BN115" i="1"/>
  <c r="BO115" i="1"/>
  <c r="BP115" i="1"/>
  <c r="BQ115" i="1"/>
  <c r="BR115" i="1"/>
  <c r="BS115" i="1"/>
  <c r="BT115" i="1"/>
  <c r="BU115" i="1"/>
  <c r="BV115" i="1"/>
  <c r="BW115" i="1"/>
  <c r="BX115" i="1"/>
  <c r="BY115" i="1"/>
  <c r="CC115" i="1"/>
  <c r="CK115" i="1"/>
  <c r="CL115" i="1"/>
  <c r="CM115" i="1"/>
  <c r="CN115" i="1"/>
  <c r="CO115" i="1"/>
  <c r="CP115" i="1"/>
  <c r="CQ115" i="1"/>
  <c r="CR115" i="1"/>
  <c r="CS115" i="1"/>
  <c r="CT115" i="1"/>
  <c r="CU115" i="1"/>
  <c r="CV115" i="1"/>
  <c r="CW115" i="1"/>
  <c r="CX115" i="1"/>
  <c r="CY115" i="1"/>
  <c r="CZ115" i="1"/>
  <c r="DA115" i="1"/>
  <c r="DB115" i="1"/>
  <c r="DC115" i="1"/>
  <c r="DD115" i="1"/>
  <c r="DE115" i="1"/>
  <c r="DF115" i="1"/>
  <c r="DG115" i="1"/>
  <c r="DH115" i="1"/>
  <c r="DI115" i="1"/>
  <c r="DJ115" i="1"/>
  <c r="DK115" i="1"/>
  <c r="DL115" i="1"/>
  <c r="DM115" i="1"/>
  <c r="DN115" i="1"/>
  <c r="DO115" i="1"/>
  <c r="DP115" i="1"/>
  <c r="DQ115" i="1"/>
  <c r="DR115" i="1"/>
  <c r="DS115" i="1"/>
  <c r="DT115" i="1"/>
  <c r="DU115" i="1"/>
  <c r="DV115" i="1"/>
  <c r="DW115" i="1"/>
  <c r="DX115" i="1"/>
  <c r="DY115" i="1"/>
  <c r="DZ115" i="1"/>
  <c r="EA115" i="1"/>
  <c r="EB115" i="1"/>
  <c r="EC115" i="1"/>
  <c r="ED115" i="1"/>
  <c r="EE115" i="1"/>
  <c r="EF115" i="1"/>
  <c r="EG115" i="1"/>
  <c r="EH115" i="1"/>
  <c r="EI115" i="1"/>
  <c r="EJ115" i="1"/>
  <c r="EK115" i="1"/>
  <c r="EL115" i="1"/>
  <c r="EM115" i="1"/>
  <c r="EN115" i="1"/>
  <c r="EO115" i="1"/>
  <c r="EP115" i="1"/>
  <c r="EQ115" i="1"/>
  <c r="ER115" i="1"/>
  <c r="ES115" i="1"/>
  <c r="ET115" i="1"/>
  <c r="EU115" i="1"/>
  <c r="EV115" i="1"/>
  <c r="EW115" i="1"/>
  <c r="EX115" i="1"/>
  <c r="EY115" i="1"/>
  <c r="EZ115" i="1"/>
  <c r="FA115" i="1"/>
  <c r="FB115" i="1"/>
  <c r="FC115" i="1"/>
  <c r="FD115" i="1"/>
  <c r="FE115" i="1"/>
  <c r="FF115" i="1"/>
  <c r="FG115" i="1"/>
  <c r="FH115" i="1"/>
  <c r="FI115" i="1"/>
  <c r="FJ115" i="1"/>
  <c r="FK115" i="1"/>
  <c r="FL115" i="1"/>
  <c r="FM115" i="1"/>
  <c r="FN115" i="1"/>
  <c r="FO115" i="1"/>
  <c r="FP115" i="1"/>
  <c r="FQ115" i="1"/>
  <c r="FR115" i="1"/>
  <c r="FS115" i="1"/>
  <c r="FT115" i="1"/>
  <c r="FU115" i="1"/>
  <c r="FV115" i="1"/>
  <c r="FW115" i="1"/>
  <c r="FX115" i="1"/>
  <c r="FY115" i="1"/>
  <c r="FZ115" i="1"/>
  <c r="GA115" i="1"/>
  <c r="GB115" i="1"/>
  <c r="GC115" i="1"/>
  <c r="GD115" i="1"/>
  <c r="GE115" i="1"/>
  <c r="GF115" i="1"/>
  <c r="GG115" i="1"/>
  <c r="GH115" i="1"/>
  <c r="GI115" i="1"/>
  <c r="GJ115" i="1"/>
  <c r="GK115" i="1"/>
  <c r="GL115" i="1"/>
  <c r="GM115" i="1"/>
  <c r="GN115" i="1"/>
  <c r="GO115" i="1"/>
  <c r="GP115" i="1"/>
  <c r="GQ115" i="1"/>
  <c r="GR115" i="1"/>
  <c r="GS115" i="1"/>
  <c r="GT115" i="1"/>
  <c r="GU115" i="1"/>
  <c r="GV115" i="1"/>
  <c r="GW115" i="1"/>
  <c r="GX115" i="1"/>
  <c r="C117" i="1"/>
  <c r="D117" i="1"/>
  <c r="S117" i="1"/>
  <c r="CY117" i="1" s="1"/>
  <c r="X117" i="1" s="1"/>
  <c r="T117" i="1"/>
  <c r="U117" i="1"/>
  <c r="V117" i="1"/>
  <c r="W117" i="1"/>
  <c r="AC117" i="1"/>
  <c r="AE117" i="1"/>
  <c r="AD117" i="1" s="1"/>
  <c r="AB117" i="1" s="1"/>
  <c r="AF117" i="1"/>
  <c r="CT117" i="1" s="1"/>
  <c r="AG117" i="1"/>
  <c r="CU117" i="1" s="1"/>
  <c r="AH117" i="1"/>
  <c r="AI117" i="1"/>
  <c r="AJ117" i="1"/>
  <c r="CQ117" i="1"/>
  <c r="P117" i="1" s="1"/>
  <c r="CP117" i="1" s="1"/>
  <c r="O117" i="1" s="1"/>
  <c r="CR117" i="1"/>
  <c r="Q117" i="1" s="1"/>
  <c r="CS117" i="1"/>
  <c r="R117" i="1" s="1"/>
  <c r="CV117" i="1"/>
  <c r="CW117" i="1"/>
  <c r="CX117" i="1"/>
  <c r="GK117" i="1"/>
  <c r="GL117" i="1"/>
  <c r="GN117" i="1"/>
  <c r="GO117" i="1"/>
  <c r="GV117" i="1"/>
  <c r="HC117" i="1"/>
  <c r="GX117" i="1" s="1"/>
  <c r="C118" i="1"/>
  <c r="D118" i="1"/>
  <c r="U118" i="1"/>
  <c r="V118" i="1"/>
  <c r="W118" i="1"/>
  <c r="AC118" i="1"/>
  <c r="CQ118" i="1" s="1"/>
  <c r="P118" i="1" s="1"/>
  <c r="AE118" i="1"/>
  <c r="AF118" i="1"/>
  <c r="CT118" i="1" s="1"/>
  <c r="S118" i="1" s="1"/>
  <c r="AG118" i="1"/>
  <c r="CU118" i="1" s="1"/>
  <c r="T118" i="1" s="1"/>
  <c r="AH118" i="1"/>
  <c r="CV118" i="1" s="1"/>
  <c r="AI118" i="1"/>
  <c r="CW118" i="1" s="1"/>
  <c r="AJ118" i="1"/>
  <c r="CX118" i="1" s="1"/>
  <c r="GL118" i="1"/>
  <c r="GN118" i="1"/>
  <c r="GO118" i="1"/>
  <c r="GV118" i="1"/>
  <c r="HC118" i="1"/>
  <c r="GX118" i="1" s="1"/>
  <c r="C119" i="1"/>
  <c r="D119" i="1"/>
  <c r="R119" i="1"/>
  <c r="GK119" i="1" s="1"/>
  <c r="S119" i="1"/>
  <c r="CY119" i="1" s="1"/>
  <c r="X119" i="1" s="1"/>
  <c r="T119" i="1"/>
  <c r="U119" i="1"/>
  <c r="AC119" i="1"/>
  <c r="AE119" i="1"/>
  <c r="CS119" i="1" s="1"/>
  <c r="AF119" i="1"/>
  <c r="AG119" i="1"/>
  <c r="AH119" i="1"/>
  <c r="AI119" i="1"/>
  <c r="CW119" i="1" s="1"/>
  <c r="V119" i="1" s="1"/>
  <c r="AJ119" i="1"/>
  <c r="CQ119" i="1"/>
  <c r="P119" i="1" s="1"/>
  <c r="CP119" i="1" s="1"/>
  <c r="O119" i="1" s="1"/>
  <c r="CR119" i="1"/>
  <c r="Q119" i="1" s="1"/>
  <c r="CT119" i="1"/>
  <c r="CU119" i="1"/>
  <c r="CV119" i="1"/>
  <c r="CX119" i="1"/>
  <c r="W119" i="1" s="1"/>
  <c r="GL119" i="1"/>
  <c r="GN119" i="1"/>
  <c r="GO119" i="1"/>
  <c r="GV119" i="1"/>
  <c r="HC119" i="1"/>
  <c r="GX119" i="1" s="1"/>
  <c r="C120" i="1"/>
  <c r="D120" i="1"/>
  <c r="P120" i="1"/>
  <c r="V120" i="1"/>
  <c r="W120" i="1"/>
  <c r="AC120" i="1"/>
  <c r="AE120" i="1"/>
  <c r="AF120" i="1"/>
  <c r="CT120" i="1" s="1"/>
  <c r="S120" i="1" s="1"/>
  <c r="AG120" i="1"/>
  <c r="CU120" i="1" s="1"/>
  <c r="T120" i="1" s="1"/>
  <c r="AG127" i="1" s="1"/>
  <c r="AH120" i="1"/>
  <c r="CV120" i="1" s="1"/>
  <c r="U120" i="1" s="1"/>
  <c r="AH127" i="1" s="1"/>
  <c r="AI120" i="1"/>
  <c r="AJ120" i="1"/>
  <c r="CQ120" i="1"/>
  <c r="CW120" i="1"/>
  <c r="CX120" i="1"/>
  <c r="GL120" i="1"/>
  <c r="BZ127" i="1" s="1"/>
  <c r="GN120" i="1"/>
  <c r="CB127" i="1" s="1"/>
  <c r="GO120" i="1"/>
  <c r="GV120" i="1"/>
  <c r="HC120" i="1"/>
  <c r="GX120" i="1" s="1"/>
  <c r="CJ127" i="1" s="1"/>
  <c r="C121" i="1"/>
  <c r="D121" i="1"/>
  <c r="S121" i="1"/>
  <c r="CY121" i="1" s="1"/>
  <c r="X121" i="1" s="1"/>
  <c r="U121" i="1"/>
  <c r="AC121" i="1"/>
  <c r="AE121" i="1"/>
  <c r="AD121" i="1" s="1"/>
  <c r="AF121" i="1"/>
  <c r="AG121" i="1"/>
  <c r="AH121" i="1"/>
  <c r="AI121" i="1"/>
  <c r="CW121" i="1" s="1"/>
  <c r="V121" i="1" s="1"/>
  <c r="AJ121" i="1"/>
  <c r="CX121" i="1" s="1"/>
  <c r="W121" i="1" s="1"/>
  <c r="CQ121" i="1"/>
  <c r="P121" i="1" s="1"/>
  <c r="CP121" i="1" s="1"/>
  <c r="O121" i="1" s="1"/>
  <c r="CR121" i="1"/>
  <c r="Q121" i="1" s="1"/>
  <c r="CS121" i="1"/>
  <c r="R121" i="1" s="1"/>
  <c r="GK121" i="1" s="1"/>
  <c r="CT121" i="1"/>
  <c r="CU121" i="1"/>
  <c r="T121" i="1" s="1"/>
  <c r="CV121" i="1"/>
  <c r="GL121" i="1"/>
  <c r="GN121" i="1"/>
  <c r="GO121" i="1"/>
  <c r="CC127" i="1" s="1"/>
  <c r="GV121" i="1"/>
  <c r="HC121" i="1" s="1"/>
  <c r="GX121" i="1" s="1"/>
  <c r="C122" i="1"/>
  <c r="D122" i="1"/>
  <c r="S122" i="1"/>
  <c r="CY122" i="1" s="1"/>
  <c r="X122" i="1" s="1"/>
  <c r="T122" i="1"/>
  <c r="U122" i="1"/>
  <c r="AC122" i="1"/>
  <c r="CQ122" i="1" s="1"/>
  <c r="P122" i="1" s="1"/>
  <c r="AE122" i="1"/>
  <c r="AF122" i="1"/>
  <c r="CT122" i="1" s="1"/>
  <c r="AG122" i="1"/>
  <c r="CU122" i="1" s="1"/>
  <c r="AH122" i="1"/>
  <c r="AI122" i="1"/>
  <c r="AJ122" i="1"/>
  <c r="CV122" i="1"/>
  <c r="CW122" i="1"/>
  <c r="V122" i="1" s="1"/>
  <c r="CX122" i="1"/>
  <c r="W122" i="1" s="1"/>
  <c r="GL122" i="1"/>
  <c r="GN122" i="1"/>
  <c r="GO122" i="1"/>
  <c r="GV122" i="1"/>
  <c r="HC122" i="1"/>
  <c r="GX122" i="1" s="1"/>
  <c r="I123" i="1"/>
  <c r="P123" i="1"/>
  <c r="S123" i="1"/>
  <c r="AC123" i="1"/>
  <c r="CQ123" i="1" s="1"/>
  <c r="AE123" i="1"/>
  <c r="AD123" i="1" s="1"/>
  <c r="AF123" i="1"/>
  <c r="AG123" i="1"/>
  <c r="CU123" i="1" s="1"/>
  <c r="AH123" i="1"/>
  <c r="CV123" i="1" s="1"/>
  <c r="AI123" i="1"/>
  <c r="AJ123" i="1"/>
  <c r="CR123" i="1"/>
  <c r="CS123" i="1"/>
  <c r="CT123" i="1"/>
  <c r="CW123" i="1"/>
  <c r="CX123" i="1"/>
  <c r="GL123" i="1"/>
  <c r="GN123" i="1"/>
  <c r="GO123" i="1"/>
  <c r="GV123" i="1"/>
  <c r="HC123" i="1"/>
  <c r="GX123" i="1" s="1"/>
  <c r="C124" i="1"/>
  <c r="D124" i="1"/>
  <c r="P124" i="1"/>
  <c r="AC124" i="1"/>
  <c r="AE124" i="1"/>
  <c r="AF124" i="1"/>
  <c r="CT124" i="1" s="1"/>
  <c r="S124" i="1" s="1"/>
  <c r="AG124" i="1"/>
  <c r="CU124" i="1" s="1"/>
  <c r="T124" i="1" s="1"/>
  <c r="AH124" i="1"/>
  <c r="CV124" i="1" s="1"/>
  <c r="U124" i="1" s="1"/>
  <c r="AI124" i="1"/>
  <c r="CW124" i="1" s="1"/>
  <c r="V124" i="1" s="1"/>
  <c r="AJ124" i="1"/>
  <c r="CX124" i="1" s="1"/>
  <c r="W124" i="1" s="1"/>
  <c r="CQ124" i="1"/>
  <c r="GL124" i="1"/>
  <c r="GN124" i="1"/>
  <c r="GO124" i="1"/>
  <c r="GV124" i="1"/>
  <c r="HC124" i="1"/>
  <c r="GX124" i="1" s="1"/>
  <c r="I125" i="1"/>
  <c r="AC125" i="1"/>
  <c r="AE125" i="1"/>
  <c r="AD125" i="1" s="1"/>
  <c r="AB125" i="1" s="1"/>
  <c r="AF125" i="1"/>
  <c r="AG125" i="1"/>
  <c r="AH125" i="1"/>
  <c r="AI125" i="1"/>
  <c r="AJ125" i="1"/>
  <c r="CQ125" i="1"/>
  <c r="CR125" i="1"/>
  <c r="CS125" i="1"/>
  <c r="CT125" i="1"/>
  <c r="CU125" i="1"/>
  <c r="CV125" i="1"/>
  <c r="CW125" i="1"/>
  <c r="CX125" i="1"/>
  <c r="GL125" i="1"/>
  <c r="GN125" i="1"/>
  <c r="GO125" i="1"/>
  <c r="GV125" i="1"/>
  <c r="HC125" i="1"/>
  <c r="B127" i="1"/>
  <c r="B115" i="1" s="1"/>
  <c r="C127" i="1"/>
  <c r="C115" i="1" s="1"/>
  <c r="D127" i="1"/>
  <c r="D115" i="1" s="1"/>
  <c r="F127" i="1"/>
  <c r="F115" i="1" s="1"/>
  <c r="G127" i="1"/>
  <c r="G115" i="1" s="1"/>
  <c r="AC127" i="1"/>
  <c r="AT127" i="1"/>
  <c r="F145" i="1" s="1"/>
  <c r="BB127" i="1"/>
  <c r="F140" i="1" s="1"/>
  <c r="BD127" i="1"/>
  <c r="F152" i="1" s="1"/>
  <c r="BX127" i="1"/>
  <c r="BY127" i="1"/>
  <c r="CK127" i="1"/>
  <c r="CL127" i="1"/>
  <c r="BC127" i="1" s="1"/>
  <c r="F143" i="1" s="1"/>
  <c r="CM127" i="1"/>
  <c r="B157" i="1"/>
  <c r="C157" i="1"/>
  <c r="C26" i="1" s="1"/>
  <c r="D157" i="1"/>
  <c r="D26" i="1" s="1"/>
  <c r="F157" i="1"/>
  <c r="F26" i="1" s="1"/>
  <c r="G157" i="1"/>
  <c r="G26" i="1" s="1"/>
  <c r="B187" i="1"/>
  <c r="C187" i="1"/>
  <c r="D187" i="1"/>
  <c r="D22" i="1" s="1"/>
  <c r="F187" i="1"/>
  <c r="F22" i="1" s="1"/>
  <c r="G187" i="1"/>
  <c r="G22" i="1" s="1"/>
  <c r="B219" i="1"/>
  <c r="C219" i="1"/>
  <c r="D219" i="1"/>
  <c r="F219" i="1"/>
  <c r="G219" i="1"/>
  <c r="G18" i="1" s="1"/>
  <c r="F12" i="6"/>
  <c r="G12" i="6"/>
  <c r="A146" i="7" l="1"/>
  <c r="A125" i="7"/>
  <c r="I111" i="7"/>
  <c r="K135" i="7"/>
  <c r="P135" i="7"/>
  <c r="K62" i="7"/>
  <c r="P62" i="7"/>
  <c r="K48" i="7"/>
  <c r="P48" i="7"/>
  <c r="P69" i="7"/>
  <c r="K69" i="7"/>
  <c r="I42" i="7"/>
  <c r="I79" i="7"/>
  <c r="I117" i="7"/>
  <c r="K94" i="7"/>
  <c r="P94" i="7"/>
  <c r="I99" i="7"/>
  <c r="K144" i="7"/>
  <c r="P144" i="7"/>
  <c r="K123" i="7"/>
  <c r="P123" i="7"/>
  <c r="K56" i="7"/>
  <c r="P56" i="7"/>
  <c r="I85" i="7"/>
  <c r="GM117" i="1"/>
  <c r="GP117" i="1" s="1"/>
  <c r="AH115" i="1"/>
  <c r="U127" i="1"/>
  <c r="CR122" i="1"/>
  <c r="Q122" i="1" s="1"/>
  <c r="CS122" i="1"/>
  <c r="R122" i="1" s="1"/>
  <c r="GK122" i="1" s="1"/>
  <c r="CP79" i="1"/>
  <c r="O79" i="1" s="1"/>
  <c r="GM79" i="1" s="1"/>
  <c r="GP79" i="1" s="1"/>
  <c r="CP122" i="1"/>
  <c r="O122" i="1" s="1"/>
  <c r="GM122" i="1" s="1"/>
  <c r="GP122" i="1" s="1"/>
  <c r="S125" i="1"/>
  <c r="CJ115" i="1"/>
  <c r="BA127" i="1"/>
  <c r="CE127" i="1"/>
  <c r="CH127" i="1"/>
  <c r="AC115" i="1"/>
  <c r="P127" i="1"/>
  <c r="CF127" i="1"/>
  <c r="CB115" i="1"/>
  <c r="AS127" i="1"/>
  <c r="AQ127" i="1"/>
  <c r="BZ115" i="1"/>
  <c r="GM119" i="1"/>
  <c r="GP119" i="1" s="1"/>
  <c r="AG115" i="1"/>
  <c r="T127" i="1"/>
  <c r="GM41" i="1"/>
  <c r="GP41" i="1" s="1"/>
  <c r="CC30" i="1"/>
  <c r="AT43" i="1"/>
  <c r="CY81" i="1"/>
  <c r="X81" i="1" s="1"/>
  <c r="CZ81" i="1"/>
  <c r="Y81" i="1" s="1"/>
  <c r="GM37" i="1"/>
  <c r="GP37" i="1" s="1"/>
  <c r="AD122" i="1"/>
  <c r="CP81" i="1"/>
  <c r="O81" i="1" s="1"/>
  <c r="T125" i="1"/>
  <c r="R125" i="1"/>
  <c r="GK125" i="1" s="1"/>
  <c r="AC83" i="1"/>
  <c r="CP77" i="1"/>
  <c r="O77" i="1" s="1"/>
  <c r="Q125" i="1"/>
  <c r="CY123" i="1"/>
  <c r="X123" i="1" s="1"/>
  <c r="CZ123" i="1"/>
  <c r="Y123" i="1" s="1"/>
  <c r="AJ75" i="1"/>
  <c r="W83" i="1"/>
  <c r="CJ43" i="1"/>
  <c r="P125" i="1"/>
  <c r="CP124" i="1"/>
  <c r="O124" i="1" s="1"/>
  <c r="GM124" i="1" s="1"/>
  <c r="GP124" i="1" s="1"/>
  <c r="AD83" i="1"/>
  <c r="W125" i="1"/>
  <c r="CP123" i="1"/>
  <c r="O123" i="1" s="1"/>
  <c r="AB122" i="1"/>
  <c r="AB37" i="1"/>
  <c r="DF1" i="3"/>
  <c r="DG1" i="3"/>
  <c r="DJ1" i="3" s="1"/>
  <c r="DH1" i="3"/>
  <c r="DI1" i="3"/>
  <c r="CZ78" i="1"/>
  <c r="Y78" i="1" s="1"/>
  <c r="CY78" i="1"/>
  <c r="X78" i="1" s="1"/>
  <c r="CY39" i="1"/>
  <c r="X39" i="1" s="1"/>
  <c r="CZ39" i="1"/>
  <c r="Y39" i="1" s="1"/>
  <c r="CY37" i="1"/>
  <c r="X37" i="1" s="1"/>
  <c r="CZ37" i="1"/>
  <c r="Y37" i="1" s="1"/>
  <c r="CP35" i="1"/>
  <c r="O35" i="1" s="1"/>
  <c r="GM35" i="1" s="1"/>
  <c r="GP35" i="1" s="1"/>
  <c r="CS78" i="1"/>
  <c r="R78" i="1" s="1"/>
  <c r="GK78" i="1" s="1"/>
  <c r="AD78" i="1"/>
  <c r="CR78" i="1"/>
  <c r="Q78" i="1" s="1"/>
  <c r="CP78" i="1" s="1"/>
  <c r="O78" i="1" s="1"/>
  <c r="GM78" i="1" s="1"/>
  <c r="GP78" i="1" s="1"/>
  <c r="AP30" i="1"/>
  <c r="F52" i="1"/>
  <c r="GK32" i="1"/>
  <c r="DF26" i="3"/>
  <c r="DG26" i="3"/>
  <c r="DH26" i="3"/>
  <c r="AB78" i="1"/>
  <c r="CP39" i="1"/>
  <c r="O39" i="1" s="1"/>
  <c r="GM39" i="1" s="1"/>
  <c r="GP39" i="1" s="1"/>
  <c r="AD43" i="1"/>
  <c r="CY79" i="1"/>
  <c r="X79" i="1" s="1"/>
  <c r="CZ79" i="1"/>
  <c r="Y79" i="1" s="1"/>
  <c r="DG30" i="3"/>
  <c r="DI30" i="3"/>
  <c r="DH30" i="3"/>
  <c r="AF127" i="1"/>
  <c r="CZ120" i="1"/>
  <c r="Y120" i="1" s="1"/>
  <c r="CY120" i="1"/>
  <c r="X120" i="1" s="1"/>
  <c r="AK127" i="1" s="1"/>
  <c r="W123" i="1"/>
  <c r="AD120" i="1"/>
  <c r="AB120" i="1" s="1"/>
  <c r="CR120" i="1"/>
  <c r="Q120" i="1" s="1"/>
  <c r="AD127" i="1" s="1"/>
  <c r="CS120" i="1"/>
  <c r="R120" i="1" s="1"/>
  <c r="CB43" i="1"/>
  <c r="CI127" i="1"/>
  <c r="AP127" i="1"/>
  <c r="V123" i="1"/>
  <c r="BX75" i="1"/>
  <c r="AO83" i="1"/>
  <c r="CJ83" i="1"/>
  <c r="AB36" i="1"/>
  <c r="CP38" i="1"/>
  <c r="O38" i="1" s="1"/>
  <c r="V125" i="1"/>
  <c r="U125" i="1"/>
  <c r="CZ119" i="1"/>
  <c r="Y119" i="1" s="1"/>
  <c r="DF8" i="3"/>
  <c r="DG8" i="3"/>
  <c r="DH8" i="3"/>
  <c r="DI8" i="3"/>
  <c r="DJ8" i="3" s="1"/>
  <c r="F47" i="1"/>
  <c r="CV5" i="3"/>
  <c r="CX5" i="3"/>
  <c r="AB121" i="1"/>
  <c r="BD30" i="1"/>
  <c r="BD157" i="1"/>
  <c r="F68" i="1"/>
  <c r="DG32" i="3"/>
  <c r="DJ32" i="3" s="1"/>
  <c r="DH32" i="3"/>
  <c r="DI32" i="3"/>
  <c r="DF32" i="3"/>
  <c r="DI17" i="3"/>
  <c r="DJ17" i="3" s="1"/>
  <c r="DF17" i="3"/>
  <c r="DG17" i="3"/>
  <c r="DH17" i="3"/>
  <c r="R123" i="1"/>
  <c r="GK123" i="1" s="1"/>
  <c r="BB43" i="1"/>
  <c r="CK30" i="1"/>
  <c r="DG7" i="3"/>
  <c r="DH7" i="3"/>
  <c r="DI7" i="3"/>
  <c r="DF7" i="3"/>
  <c r="DJ7" i="3" s="1"/>
  <c r="Q123" i="1"/>
  <c r="CY77" i="1"/>
  <c r="X77" i="1" s="1"/>
  <c r="CM30" i="1"/>
  <c r="DG36" i="3"/>
  <c r="DH36" i="3"/>
  <c r="DI36" i="3"/>
  <c r="DJ36" i="3" s="1"/>
  <c r="DF36" i="3"/>
  <c r="AG43" i="1"/>
  <c r="DI34" i="3"/>
  <c r="DG34" i="3"/>
  <c r="DJ34" i="3" s="1"/>
  <c r="DH34" i="3"/>
  <c r="CZ121" i="1"/>
  <c r="Y121" i="1" s="1"/>
  <c r="GM121" i="1" s="1"/>
  <c r="GP121" i="1" s="1"/>
  <c r="BZ75" i="1"/>
  <c r="CI83" i="1"/>
  <c r="AQ83" i="1"/>
  <c r="U123" i="1"/>
  <c r="CS34" i="1"/>
  <c r="R34" i="1" s="1"/>
  <c r="GK34" i="1" s="1"/>
  <c r="CR34" i="1"/>
  <c r="Q34" i="1" s="1"/>
  <c r="DI21" i="3"/>
  <c r="DH21" i="3"/>
  <c r="DF21" i="3"/>
  <c r="DJ21" i="3" s="1"/>
  <c r="DG21" i="3"/>
  <c r="AD34" i="1"/>
  <c r="CG127" i="1"/>
  <c r="AO127" i="1"/>
  <c r="CZ122" i="1"/>
  <c r="Y122" i="1" s="1"/>
  <c r="F99" i="1"/>
  <c r="BC75" i="1"/>
  <c r="AH83" i="1"/>
  <c r="BC43" i="1"/>
  <c r="CL30" i="1"/>
  <c r="AB41" i="1"/>
  <c r="CS40" i="1"/>
  <c r="R40" i="1" s="1"/>
  <c r="GK40" i="1" s="1"/>
  <c r="CR40" i="1"/>
  <c r="Q40" i="1" s="1"/>
  <c r="CP40" i="1" s="1"/>
  <c r="O40" i="1" s="1"/>
  <c r="GM40" i="1" s="1"/>
  <c r="GP40" i="1" s="1"/>
  <c r="CR38" i="1"/>
  <c r="Q38" i="1" s="1"/>
  <c r="CS38" i="1"/>
  <c r="R38" i="1" s="1"/>
  <c r="GK38" i="1" s="1"/>
  <c r="BZ43" i="1"/>
  <c r="CY124" i="1"/>
  <c r="X124" i="1" s="1"/>
  <c r="CZ124" i="1"/>
  <c r="Y124" i="1" s="1"/>
  <c r="F96" i="1"/>
  <c r="BB75" i="1"/>
  <c r="AG83" i="1"/>
  <c r="AD40" i="1"/>
  <c r="AB40" i="1" s="1"/>
  <c r="AD38" i="1"/>
  <c r="AD124" i="1"/>
  <c r="AB124" i="1" s="1"/>
  <c r="CR124" i="1"/>
  <c r="Q124" i="1" s="1"/>
  <c r="CS124" i="1"/>
  <c r="R124" i="1" s="1"/>
  <c r="GK124" i="1" s="1"/>
  <c r="AJ127" i="1"/>
  <c r="CZ117" i="1"/>
  <c r="Y117" i="1" s="1"/>
  <c r="CB75" i="1"/>
  <c r="AS83" i="1"/>
  <c r="AH43" i="1"/>
  <c r="AI127" i="1"/>
  <c r="DF19" i="3"/>
  <c r="DJ19" i="3" s="1"/>
  <c r="DG19" i="3"/>
  <c r="DH19" i="3"/>
  <c r="DI19" i="3"/>
  <c r="CY118" i="1"/>
  <c r="X118" i="1" s="1"/>
  <c r="CZ118" i="1"/>
  <c r="Y118" i="1" s="1"/>
  <c r="AX83" i="1"/>
  <c r="CY34" i="1"/>
  <c r="X34" i="1" s="1"/>
  <c r="CZ34" i="1"/>
  <c r="Y34" i="1" s="1"/>
  <c r="T123" i="1"/>
  <c r="CR118" i="1"/>
  <c r="Q118" i="1" s="1"/>
  <c r="CS118" i="1"/>
  <c r="R118" i="1" s="1"/>
  <c r="GK118" i="1" s="1"/>
  <c r="CZ77" i="1"/>
  <c r="Y77" i="1" s="1"/>
  <c r="AJ43" i="1"/>
  <c r="AD118" i="1"/>
  <c r="AB118" i="1" s="1"/>
  <c r="AI43" i="1"/>
  <c r="CP118" i="1"/>
  <c r="O118" i="1" s="1"/>
  <c r="AB80" i="1"/>
  <c r="CT80" i="1"/>
  <c r="S80" i="1" s="1"/>
  <c r="CY38" i="1"/>
  <c r="X38" i="1" s="1"/>
  <c r="CZ38" i="1"/>
  <c r="Y38" i="1" s="1"/>
  <c r="AB34" i="1"/>
  <c r="CQ34" i="1"/>
  <c r="P34" i="1" s="1"/>
  <c r="CP34" i="1" s="1"/>
  <c r="O34" i="1" s="1"/>
  <c r="GM34" i="1" s="1"/>
  <c r="GP34" i="1" s="1"/>
  <c r="CV23" i="3"/>
  <c r="CX23" i="3"/>
  <c r="CV6" i="3"/>
  <c r="CX6" i="3"/>
  <c r="AI83" i="1"/>
  <c r="CZ32" i="1"/>
  <c r="Y32" i="1" s="1"/>
  <c r="AF43" i="1"/>
  <c r="CW3" i="3"/>
  <c r="CX3" i="3"/>
  <c r="DF18" i="3"/>
  <c r="DG18" i="3"/>
  <c r="DJ18" i="3" s="1"/>
  <c r="DH18" i="3"/>
  <c r="CY41" i="1"/>
  <c r="X41" i="1" s="1"/>
  <c r="CZ41" i="1"/>
  <c r="Y41" i="1" s="1"/>
  <c r="CP120" i="1"/>
  <c r="O120" i="1" s="1"/>
  <c r="AB33" i="1"/>
  <c r="CQ33" i="1"/>
  <c r="P33" i="1" s="1"/>
  <c r="CP33" i="1" s="1"/>
  <c r="O33" i="1" s="1"/>
  <c r="GM33" i="1" s="1"/>
  <c r="GP33" i="1" s="1"/>
  <c r="CX4" i="3"/>
  <c r="GX125" i="1"/>
  <c r="AB123" i="1"/>
  <c r="AD39" i="1"/>
  <c r="AB39" i="1" s="1"/>
  <c r="CV29" i="3"/>
  <c r="CX29" i="3"/>
  <c r="DG27" i="3"/>
  <c r="DJ27" i="3" s="1"/>
  <c r="DH27" i="3"/>
  <c r="DF27" i="3"/>
  <c r="CR79" i="1"/>
  <c r="Q79" i="1" s="1"/>
  <c r="CS79" i="1"/>
  <c r="R79" i="1" s="1"/>
  <c r="GK79" i="1" s="1"/>
  <c r="CV33" i="3"/>
  <c r="CX33" i="3"/>
  <c r="DG12" i="3"/>
  <c r="DH12" i="3"/>
  <c r="AD119" i="1"/>
  <c r="AB81" i="1"/>
  <c r="AD79" i="1"/>
  <c r="AB79" i="1" s="1"/>
  <c r="AB119" i="1"/>
  <c r="CZ40" i="1"/>
  <c r="Y40" i="1" s="1"/>
  <c r="AD32" i="1"/>
  <c r="AB32" i="1" s="1"/>
  <c r="F108" i="1"/>
  <c r="CC83" i="1"/>
  <c r="CP32" i="1"/>
  <c r="O32" i="1" s="1"/>
  <c r="AC43" i="1"/>
  <c r="CV31" i="3"/>
  <c r="CX31" i="3"/>
  <c r="AB38" i="1"/>
  <c r="AE83" i="1"/>
  <c r="DH16" i="3"/>
  <c r="DI16" i="3"/>
  <c r="K99" i="7" l="1"/>
  <c r="P99" i="7"/>
  <c r="K117" i="7"/>
  <c r="P117" i="7"/>
  <c r="P79" i="7"/>
  <c r="K79" i="7"/>
  <c r="P42" i="7"/>
  <c r="K42" i="7"/>
  <c r="I146" i="7"/>
  <c r="K85" i="7"/>
  <c r="P85" i="7"/>
  <c r="K111" i="7"/>
  <c r="P111" i="7"/>
  <c r="I125" i="7" s="1"/>
  <c r="AI75" i="1"/>
  <c r="V83" i="1"/>
  <c r="BZ30" i="1"/>
  <c r="CI43" i="1"/>
  <c r="AQ43" i="1"/>
  <c r="F93" i="1"/>
  <c r="AQ75" i="1"/>
  <c r="Q43" i="1"/>
  <c r="AD30" i="1"/>
  <c r="CZ125" i="1"/>
  <c r="Y125" i="1" s="1"/>
  <c r="CY125" i="1"/>
  <c r="X125" i="1" s="1"/>
  <c r="AE75" i="1"/>
  <c r="R83" i="1"/>
  <c r="DG6" i="3"/>
  <c r="DH6" i="3"/>
  <c r="DI6" i="3"/>
  <c r="DJ6" i="3" s="1"/>
  <c r="DF6" i="3"/>
  <c r="CI75" i="1"/>
  <c r="AZ83" i="1"/>
  <c r="GM38" i="1"/>
  <c r="GP38" i="1" s="1"/>
  <c r="DF31" i="3"/>
  <c r="DG31" i="3"/>
  <c r="DH31" i="3"/>
  <c r="DI31" i="3"/>
  <c r="DJ31" i="3" s="1"/>
  <c r="DF29" i="3"/>
  <c r="DG29" i="3"/>
  <c r="DH29" i="3"/>
  <c r="DI29" i="3"/>
  <c r="DJ29" i="3" s="1"/>
  <c r="DF23" i="3"/>
  <c r="DG23" i="3"/>
  <c r="DH23" i="3"/>
  <c r="DI23" i="3"/>
  <c r="DJ23" i="3" s="1"/>
  <c r="CJ75" i="1"/>
  <c r="BA83" i="1"/>
  <c r="F61" i="1"/>
  <c r="AT30" i="1"/>
  <c r="F87" i="1"/>
  <c r="AO75" i="1"/>
  <c r="AO157" i="1"/>
  <c r="AC30" i="1"/>
  <c r="P43" i="1"/>
  <c r="CE43" i="1"/>
  <c r="CF43" i="1"/>
  <c r="CH43" i="1"/>
  <c r="GM123" i="1"/>
  <c r="GP123" i="1" s="1"/>
  <c r="F149" i="1"/>
  <c r="U115" i="1"/>
  <c r="AB43" i="1"/>
  <c r="GM32" i="1"/>
  <c r="V127" i="1"/>
  <c r="AI115" i="1"/>
  <c r="AE43" i="1"/>
  <c r="F148" i="1"/>
  <c r="T115" i="1"/>
  <c r="CC75" i="1"/>
  <c r="AT83" i="1"/>
  <c r="U43" i="1"/>
  <c r="AH30" i="1"/>
  <c r="BC30" i="1"/>
  <c r="F59" i="1"/>
  <c r="BC157" i="1"/>
  <c r="T43" i="1"/>
  <c r="AG30" i="1"/>
  <c r="AP115" i="1"/>
  <c r="F136" i="1"/>
  <c r="AD75" i="1"/>
  <c r="Q83" i="1"/>
  <c r="DF4" i="3"/>
  <c r="DJ4" i="3" s="1"/>
  <c r="DG4" i="3"/>
  <c r="DH4" i="3"/>
  <c r="DI4" i="3"/>
  <c r="F100" i="1"/>
  <c r="AS75" i="1"/>
  <c r="AH75" i="1"/>
  <c r="U83" i="1"/>
  <c r="CI115" i="1"/>
  <c r="AZ127" i="1"/>
  <c r="AP157" i="1"/>
  <c r="CY80" i="1"/>
  <c r="X80" i="1" s="1"/>
  <c r="AK83" i="1" s="1"/>
  <c r="CZ80" i="1"/>
  <c r="Y80" i="1" s="1"/>
  <c r="AL83" i="1" s="1"/>
  <c r="CB30" i="1"/>
  <c r="AS43" i="1"/>
  <c r="CP125" i="1"/>
  <c r="O125" i="1" s="1"/>
  <c r="GM125" i="1" s="1"/>
  <c r="GP125" i="1" s="1"/>
  <c r="BD187" i="1"/>
  <c r="BD26" i="1"/>
  <c r="F182" i="1"/>
  <c r="AE127" i="1"/>
  <c r="GK120" i="1"/>
  <c r="BA43" i="1"/>
  <c r="CJ30" i="1"/>
  <c r="CP80" i="1"/>
  <c r="O80" i="1" s="1"/>
  <c r="GM120" i="1"/>
  <c r="AB127" i="1"/>
  <c r="GM118" i="1"/>
  <c r="GP118" i="1" s="1"/>
  <c r="W127" i="1"/>
  <c r="AJ115" i="1"/>
  <c r="AD115" i="1"/>
  <c r="Q127" i="1"/>
  <c r="W75" i="1"/>
  <c r="F107" i="1"/>
  <c r="V43" i="1"/>
  <c r="AI30" i="1"/>
  <c r="AO115" i="1"/>
  <c r="F131" i="1"/>
  <c r="AQ115" i="1"/>
  <c r="F137" i="1"/>
  <c r="AX127" i="1"/>
  <c r="CG115" i="1"/>
  <c r="AF83" i="1"/>
  <c r="DG5" i="3"/>
  <c r="DH5" i="3"/>
  <c r="DF5" i="3"/>
  <c r="DI5" i="3"/>
  <c r="DJ5" i="3" s="1"/>
  <c r="F144" i="1"/>
  <c r="AS115" i="1"/>
  <c r="W43" i="1"/>
  <c r="AJ30" i="1"/>
  <c r="AK115" i="1"/>
  <c r="X127" i="1"/>
  <c r="AL127" i="1"/>
  <c r="AW127" i="1"/>
  <c r="CF115" i="1"/>
  <c r="AF115" i="1"/>
  <c r="S127" i="1"/>
  <c r="GM77" i="1"/>
  <c r="AB83" i="1"/>
  <c r="F130" i="1"/>
  <c r="P115" i="1"/>
  <c r="DG3" i="3"/>
  <c r="DJ3" i="3" s="1"/>
  <c r="DH3" i="3"/>
  <c r="DF3" i="3"/>
  <c r="DI3" i="3"/>
  <c r="AG75" i="1"/>
  <c r="T83" i="1"/>
  <c r="CH83" i="1"/>
  <c r="AC75" i="1"/>
  <c r="CF83" i="1"/>
  <c r="P83" i="1"/>
  <c r="CE83" i="1"/>
  <c r="DF33" i="3"/>
  <c r="DG33" i="3"/>
  <c r="DI33" i="3"/>
  <c r="DJ33" i="3" s="1"/>
  <c r="DH33" i="3"/>
  <c r="CH115" i="1"/>
  <c r="AY127" i="1"/>
  <c r="AV127" i="1"/>
  <c r="CE115" i="1"/>
  <c r="CG43" i="1"/>
  <c r="S43" i="1"/>
  <c r="AF30" i="1"/>
  <c r="AK43" i="1"/>
  <c r="GM81" i="1"/>
  <c r="GP81" i="1" s="1"/>
  <c r="F147" i="1"/>
  <c r="BA115" i="1"/>
  <c r="AL43" i="1"/>
  <c r="F90" i="1"/>
  <c r="AX75" i="1"/>
  <c r="BB30" i="1"/>
  <c r="F56" i="1"/>
  <c r="BB157" i="1"/>
  <c r="I152" i="7" l="1"/>
  <c r="I101" i="7"/>
  <c r="I157" i="7"/>
  <c r="I149" i="7"/>
  <c r="AL75" i="1"/>
  <c r="Y83" i="1"/>
  <c r="AK75" i="1"/>
  <c r="X83" i="1"/>
  <c r="X43" i="1"/>
  <c r="AK30" i="1"/>
  <c r="AF75" i="1"/>
  <c r="S83" i="1"/>
  <c r="AE115" i="1"/>
  <c r="R127" i="1"/>
  <c r="CF30" i="1"/>
  <c r="AW43" i="1"/>
  <c r="CE30" i="1"/>
  <c r="AV43" i="1"/>
  <c r="S30" i="1"/>
  <c r="F58" i="1"/>
  <c r="S157" i="1"/>
  <c r="AX115" i="1"/>
  <c r="F134" i="1"/>
  <c r="P157" i="1"/>
  <c r="F46" i="1"/>
  <c r="P30" i="1"/>
  <c r="CG30" i="1"/>
  <c r="AX43" i="1"/>
  <c r="AB75" i="1"/>
  <c r="O83" i="1"/>
  <c r="BD22" i="1"/>
  <c r="BD219" i="1"/>
  <c r="F212" i="1"/>
  <c r="T30" i="1"/>
  <c r="F64" i="1"/>
  <c r="T157" i="1"/>
  <c r="F94" i="1"/>
  <c r="AZ75" i="1"/>
  <c r="CA83" i="1"/>
  <c r="GP77" i="1"/>
  <c r="CD83" i="1" s="1"/>
  <c r="BC187" i="1"/>
  <c r="BC26" i="1"/>
  <c r="F173" i="1"/>
  <c r="AO26" i="1"/>
  <c r="F161" i="1"/>
  <c r="AO187" i="1"/>
  <c r="F132" i="1"/>
  <c r="AV115" i="1"/>
  <c r="S115" i="1"/>
  <c r="F142" i="1"/>
  <c r="F60" i="1"/>
  <c r="AS30" i="1"/>
  <c r="AS157" i="1"/>
  <c r="AY115" i="1"/>
  <c r="F135" i="1"/>
  <c r="F133" i="1"/>
  <c r="AW115" i="1"/>
  <c r="V30" i="1"/>
  <c r="F66" i="1"/>
  <c r="V157" i="1"/>
  <c r="U30" i="1"/>
  <c r="F65" i="1"/>
  <c r="U157" i="1"/>
  <c r="AL115" i="1"/>
  <c r="Y127" i="1"/>
  <c r="AP26" i="1"/>
  <c r="F166" i="1"/>
  <c r="AP187" i="1"/>
  <c r="AT75" i="1"/>
  <c r="F101" i="1"/>
  <c r="AT157" i="1"/>
  <c r="R75" i="1"/>
  <c r="F97" i="1"/>
  <c r="AZ115" i="1"/>
  <c r="F138" i="1"/>
  <c r="BA75" i="1"/>
  <c r="F103" i="1"/>
  <c r="F153" i="1"/>
  <c r="X115" i="1"/>
  <c r="F139" i="1"/>
  <c r="Q115" i="1"/>
  <c r="CE75" i="1"/>
  <c r="AV83" i="1"/>
  <c r="U75" i="1"/>
  <c r="F105" i="1"/>
  <c r="F170" i="1"/>
  <c r="BB187" i="1"/>
  <c r="BB26" i="1"/>
  <c r="F86" i="1"/>
  <c r="P75" i="1"/>
  <c r="R43" i="1"/>
  <c r="AE30" i="1"/>
  <c r="CF75" i="1"/>
  <c r="AW83" i="1"/>
  <c r="F151" i="1"/>
  <c r="W115" i="1"/>
  <c r="Q157" i="1"/>
  <c r="Q30" i="1"/>
  <c r="F55" i="1"/>
  <c r="W157" i="1"/>
  <c r="W30" i="1"/>
  <c r="F67" i="1"/>
  <c r="F150" i="1"/>
  <c r="V115" i="1"/>
  <c r="CH75" i="1"/>
  <c r="AY83" i="1"/>
  <c r="O127" i="1"/>
  <c r="AB115" i="1"/>
  <c r="GP32" i="1"/>
  <c r="CD43" i="1" s="1"/>
  <c r="CA43" i="1"/>
  <c r="T75" i="1"/>
  <c r="F104" i="1"/>
  <c r="GP120" i="1"/>
  <c r="CD127" i="1" s="1"/>
  <c r="CA127" i="1"/>
  <c r="AB30" i="1"/>
  <c r="O43" i="1"/>
  <c r="AQ157" i="1"/>
  <c r="F53" i="1"/>
  <c r="AQ30" i="1"/>
  <c r="Y43" i="1"/>
  <c r="AL30" i="1"/>
  <c r="GM80" i="1"/>
  <c r="GP80" i="1" s="1"/>
  <c r="AZ43" i="1"/>
  <c r="CI30" i="1"/>
  <c r="BA30" i="1"/>
  <c r="BA157" i="1"/>
  <c r="F63" i="1"/>
  <c r="F95" i="1"/>
  <c r="Q75" i="1"/>
  <c r="V75" i="1"/>
  <c r="F106" i="1"/>
  <c r="CH30" i="1"/>
  <c r="AY43" i="1"/>
  <c r="CA115" i="1" l="1"/>
  <c r="AR127" i="1"/>
  <c r="AU127" i="1"/>
  <c r="CD115" i="1"/>
  <c r="R30" i="1"/>
  <c r="F57" i="1"/>
  <c r="R157" i="1"/>
  <c r="AP22" i="1"/>
  <c r="F196" i="1"/>
  <c r="G16" i="2" s="1"/>
  <c r="AP219" i="1"/>
  <c r="AO22" i="1"/>
  <c r="F191" i="1"/>
  <c r="AO219" i="1"/>
  <c r="P187" i="1"/>
  <c r="F160" i="1"/>
  <c r="P26" i="1"/>
  <c r="AY30" i="1"/>
  <c r="AY157" i="1"/>
  <c r="F51" i="1"/>
  <c r="AR43" i="1"/>
  <c r="CA30" i="1"/>
  <c r="CD30" i="1"/>
  <c r="AU43" i="1"/>
  <c r="BB219" i="1"/>
  <c r="BB22" i="1"/>
  <c r="F200" i="1"/>
  <c r="F154" i="1"/>
  <c r="Y115" i="1"/>
  <c r="F172" i="1"/>
  <c r="S187" i="1"/>
  <c r="S26" i="1"/>
  <c r="F129" i="1"/>
  <c r="O115" i="1"/>
  <c r="U26" i="1"/>
  <c r="U187" i="1"/>
  <c r="F179" i="1"/>
  <c r="BC22" i="1"/>
  <c r="BC219" i="1"/>
  <c r="F203" i="1"/>
  <c r="AY75" i="1"/>
  <c r="F91" i="1"/>
  <c r="CD75" i="1"/>
  <c r="AU83" i="1"/>
  <c r="AV30" i="1"/>
  <c r="AV157" i="1"/>
  <c r="F48" i="1"/>
  <c r="AV75" i="1"/>
  <c r="F88" i="1"/>
  <c r="CA75" i="1"/>
  <c r="AR83" i="1"/>
  <c r="BA187" i="1"/>
  <c r="BA26" i="1"/>
  <c r="F177" i="1"/>
  <c r="V26" i="1"/>
  <c r="V187" i="1"/>
  <c r="F180" i="1"/>
  <c r="AW30" i="1"/>
  <c r="F49" i="1"/>
  <c r="AW157" i="1"/>
  <c r="T26" i="1"/>
  <c r="T187" i="1"/>
  <c r="F178" i="1"/>
  <c r="R115" i="1"/>
  <c r="F141" i="1"/>
  <c r="F54" i="1"/>
  <c r="AZ157" i="1"/>
  <c r="AZ30" i="1"/>
  <c r="W26" i="1"/>
  <c r="W187" i="1"/>
  <c r="F181" i="1"/>
  <c r="F98" i="1"/>
  <c r="S75" i="1"/>
  <c r="Y30" i="1"/>
  <c r="Y157" i="1"/>
  <c r="F70" i="1"/>
  <c r="F244" i="1"/>
  <c r="BD18" i="1"/>
  <c r="F169" i="1"/>
  <c r="Q187" i="1"/>
  <c r="Q26" i="1"/>
  <c r="AS26" i="1"/>
  <c r="F174" i="1"/>
  <c r="AS187" i="1"/>
  <c r="X157" i="1"/>
  <c r="X30" i="1"/>
  <c r="F69" i="1"/>
  <c r="F85" i="1"/>
  <c r="O75" i="1"/>
  <c r="F109" i="1"/>
  <c r="X75" i="1"/>
  <c r="AQ26" i="1"/>
  <c r="F167" i="1"/>
  <c r="AQ187" i="1"/>
  <c r="O157" i="1"/>
  <c r="F45" i="1"/>
  <c r="O30" i="1"/>
  <c r="AW75" i="1"/>
  <c r="F89" i="1"/>
  <c r="AX30" i="1"/>
  <c r="F50" i="1"/>
  <c r="AX157" i="1"/>
  <c r="Y75" i="1"/>
  <c r="F110" i="1"/>
  <c r="AT26" i="1"/>
  <c r="AT187" i="1"/>
  <c r="F175" i="1"/>
  <c r="F168" i="1" l="1"/>
  <c r="AZ187" i="1"/>
  <c r="AZ26" i="1"/>
  <c r="AU75" i="1"/>
  <c r="F102" i="1"/>
  <c r="AR157" i="1"/>
  <c r="AR30" i="1"/>
  <c r="F71" i="1"/>
  <c r="X26" i="1"/>
  <c r="F183" i="1"/>
  <c r="X187" i="1"/>
  <c r="AY187" i="1"/>
  <c r="F165" i="1"/>
  <c r="AY26" i="1"/>
  <c r="AT22" i="1"/>
  <c r="F205" i="1"/>
  <c r="F16" i="2" s="1"/>
  <c r="AT219" i="1"/>
  <c r="AS22" i="1"/>
  <c r="F204" i="1"/>
  <c r="E16" i="2" s="1"/>
  <c r="AS219" i="1"/>
  <c r="T22" i="1"/>
  <c r="T219" i="1"/>
  <c r="F208" i="1"/>
  <c r="F235" i="1"/>
  <c r="BC18" i="1"/>
  <c r="AW26" i="1"/>
  <c r="F163" i="1"/>
  <c r="AW187" i="1"/>
  <c r="F190" i="1"/>
  <c r="P22" i="1"/>
  <c r="P219" i="1"/>
  <c r="AX26" i="1"/>
  <c r="F164" i="1"/>
  <c r="AX187" i="1"/>
  <c r="Q22" i="1"/>
  <c r="Q219" i="1"/>
  <c r="F199" i="1"/>
  <c r="U22" i="1"/>
  <c r="U219" i="1"/>
  <c r="F209" i="1"/>
  <c r="F223" i="1"/>
  <c r="AO18" i="1"/>
  <c r="V22" i="1"/>
  <c r="F210" i="1"/>
  <c r="V219" i="1"/>
  <c r="AP18" i="1"/>
  <c r="F228" i="1"/>
  <c r="F184" i="1"/>
  <c r="Y187" i="1"/>
  <c r="Y26" i="1"/>
  <c r="S22" i="1"/>
  <c r="S219" i="1"/>
  <c r="F202" i="1"/>
  <c r="F207" i="1"/>
  <c r="BA219" i="1"/>
  <c r="BA22" i="1"/>
  <c r="F171" i="1"/>
  <c r="R187" i="1"/>
  <c r="R26" i="1"/>
  <c r="O187" i="1"/>
  <c r="O26" i="1"/>
  <c r="F159" i="1"/>
  <c r="F111" i="1"/>
  <c r="AR75" i="1"/>
  <c r="AQ22" i="1"/>
  <c r="F197" i="1"/>
  <c r="AQ219" i="1"/>
  <c r="W22" i="1"/>
  <c r="F211" i="1"/>
  <c r="W219" i="1"/>
  <c r="F146" i="1"/>
  <c r="AU115" i="1"/>
  <c r="F232" i="1"/>
  <c r="BB18" i="1"/>
  <c r="F155" i="1"/>
  <c r="AR115" i="1"/>
  <c r="AV26" i="1"/>
  <c r="F162" i="1"/>
  <c r="AV187" i="1"/>
  <c r="AU30" i="1"/>
  <c r="F62" i="1"/>
  <c r="AU157" i="1"/>
  <c r="T18" i="1" l="1"/>
  <c r="F240" i="1"/>
  <c r="AS18" i="1"/>
  <c r="F236" i="1"/>
  <c r="F241" i="1"/>
  <c r="U18" i="1"/>
  <c r="AT18" i="1"/>
  <c r="F237" i="1"/>
  <c r="AU26" i="1"/>
  <c r="AU187" i="1"/>
  <c r="F176" i="1"/>
  <c r="F189" i="1"/>
  <c r="O22" i="1"/>
  <c r="O219" i="1"/>
  <c r="R22" i="1"/>
  <c r="F201" i="1"/>
  <c r="J16" i="2" s="1"/>
  <c r="R219" i="1"/>
  <c r="F231" i="1"/>
  <c r="Q18" i="1"/>
  <c r="F192" i="1"/>
  <c r="AV219" i="1"/>
  <c r="AV22" i="1"/>
  <c r="AX219" i="1"/>
  <c r="F194" i="1"/>
  <c r="AX22" i="1"/>
  <c r="AY219" i="1"/>
  <c r="F195" i="1"/>
  <c r="AY22" i="1"/>
  <c r="F239" i="1"/>
  <c r="BA18" i="1"/>
  <c r="X219" i="1"/>
  <c r="X22" i="1"/>
  <c r="F213" i="1"/>
  <c r="F222" i="1"/>
  <c r="P18" i="1"/>
  <c r="S18" i="1"/>
  <c r="F234" i="1"/>
  <c r="F193" i="1"/>
  <c r="AW219" i="1"/>
  <c r="AW22" i="1"/>
  <c r="AR26" i="1"/>
  <c r="F185" i="1"/>
  <c r="AR187" i="1"/>
  <c r="Y219" i="1"/>
  <c r="Y22" i="1"/>
  <c r="F214" i="1"/>
  <c r="W18" i="1"/>
  <c r="F243" i="1"/>
  <c r="AZ219" i="1"/>
  <c r="F198" i="1"/>
  <c r="AZ22" i="1"/>
  <c r="AQ18" i="1"/>
  <c r="F229" i="1"/>
  <c r="V18" i="1"/>
  <c r="F242" i="1"/>
  <c r="F224" i="1" l="1"/>
  <c r="AV18" i="1"/>
  <c r="F225" i="1"/>
  <c r="AW18" i="1"/>
  <c r="R18" i="1"/>
  <c r="F233" i="1"/>
  <c r="O18" i="1"/>
  <c r="F221" i="1"/>
  <c r="AU219" i="1"/>
  <c r="AU22" i="1"/>
  <c r="F206" i="1"/>
  <c r="H16" i="2" s="1"/>
  <c r="I16" i="2" s="1"/>
  <c r="N16" i="2" s="1"/>
  <c r="F245" i="1"/>
  <c r="X18" i="1"/>
  <c r="F230" i="1"/>
  <c r="AZ18" i="1"/>
  <c r="F227" i="1"/>
  <c r="AY18" i="1"/>
  <c r="F246" i="1"/>
  <c r="Y18" i="1"/>
  <c r="F226" i="1"/>
  <c r="AX18" i="1"/>
  <c r="AR22" i="1"/>
  <c r="F215" i="1"/>
  <c r="AR219" i="1"/>
  <c r="AU18" i="1" l="1"/>
  <c r="F238" i="1"/>
  <c r="AR18" i="1"/>
  <c r="F247" i="1"/>
  <c r="F248" i="1" s="1"/>
  <c r="F217" i="1"/>
  <c r="F250" i="1" l="1"/>
  <c r="I160" i="7" s="1"/>
</calcChain>
</file>

<file path=xl/sharedStrings.xml><?xml version="1.0" encoding="utf-8"?>
<sst xmlns="http://schemas.openxmlformats.org/spreadsheetml/2006/main" count="2724" uniqueCount="266">
  <si>
    <t>Smeta.RU Flash  (495) 974-1589</t>
  </si>
  <si>
    <t>_PS_</t>
  </si>
  <si>
    <t>Smeta.RU Flash</t>
  </si>
  <si>
    <t/>
  </si>
  <si>
    <t>Новый объект</t>
  </si>
  <si>
    <t>Зона 5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</si>
  <si>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</si>
  <si>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</si>
  <si>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</si>
  <si>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</si>
  <si>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</si>
  <si>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</si>
  <si>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</si>
  <si>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Локальная смета: Зона №5</t>
  </si>
  <si>
    <t>Новый раздел</t>
  </si>
  <si>
    <t>Раздел: Основная зона</t>
  </si>
  <si>
    <t>Новый подраздел</t>
  </si>
  <si>
    <t>1</t>
  </si>
  <si>
    <t>5.3-1102-12-1/1</t>
  </si>
  <si>
    <t>Уборка снега средствами малой механизации</t>
  </si>
  <si>
    <t>1000 м2</t>
  </si>
  <si>
    <t>СН-2012.5 Выпуск № 5 (в текущих ценах по состоянию на 01.10.2025 г.). 5.3-1102-12-1/1</t>
  </si>
  <si>
    <t>)*20</t>
  </si>
  <si>
    <t>СН-2012</t>
  </si>
  <si>
    <t>Подрядные работы, гл. 1-5,7</t>
  </si>
  <si>
    <t>работа</t>
  </si>
  <si>
    <t>2</t>
  </si>
  <si>
    <t>5.3-1102-8-1/1</t>
  </si>
  <si>
    <t>Уборка свежевыпавшего снега вручную толщиной слоя до 10 см</t>
  </si>
  <si>
    <t>100 м2</t>
  </si>
  <si>
    <t>СН-2012.5 Выпуск № 5 (в текущих ценах по состоянию на 01.10.2025 г.). 5.3-1102-8-1/1</t>
  </si>
  <si>
    <t>3</t>
  </si>
  <si>
    <t>5.3-1101-15-1/1</t>
  </si>
  <si>
    <t>Подметание тротуаров, придомовых и внутрибольничных проездов средствами малой механизации</t>
  </si>
  <si>
    <t>СН-2012.5 Выпуск № 5 (в текущих ценах по состоянию на 01.10.2025 г.). 5.3-1101-15-1/1</t>
  </si>
  <si>
    <t>)*50</t>
  </si>
  <si>
    <t>3,1</t>
  </si>
  <si>
    <t>21.1-25-13</t>
  </si>
  <si>
    <t>Вода</t>
  </si>
  <si>
    <t>м3</t>
  </si>
  <si>
    <t>СН-2012.21 Выпуск № 5 (в текущих ценах по состоянию на 01.10.2025 г.). 21.1-25-13</t>
  </si>
  <si>
    <t>4</t>
  </si>
  <si>
    <t>5.3-1101-13-1/1</t>
  </si>
  <si>
    <t>Подметание вручную дорожек и площадок с твердым покрытием</t>
  </si>
  <si>
    <t>СН-2012.5 Выпуск № 5 (в текущих ценах по состоянию на 01.10.2025 г.). 5.3-1101-13-1/1</t>
  </si>
  <si>
    <t>5</t>
  </si>
  <si>
    <t>5.3-1102-10-3/1</t>
  </si>
  <si>
    <t>Посыпка противогололедными реагентами ХКНтв дорожных покрытий вручную</t>
  </si>
  <si>
    <t>СН-2012.5 Выпуск № 5 (в текущих ценах по состоянию на 01.10.2025 г.). 5.3-1102-10-3/1</t>
  </si>
  <si>
    <t>)*15</t>
  </si>
  <si>
    <t>6</t>
  </si>
  <si>
    <t>5.3-1102-13-3/1</t>
  </si>
  <si>
    <t>Посыпка противогололедными реагентами дорожных покрытий средствами малой механизации</t>
  </si>
  <si>
    <t>СН-2012.5 Выпуск № 5 (в текущих ценах по состоянию на 01.10.2025 г.). 5.3-1102-13-3/1</t>
  </si>
  <si>
    <t>7</t>
  </si>
  <si>
    <t>5.3-1102-9-1/1</t>
  </si>
  <si>
    <t>Колка льда на обледеневших покрытиях вручную</t>
  </si>
  <si>
    <t>СН-2012.5 Выпуск № 5 (в текущих ценах по состоянию на 01.10.2025 г.). 5.3-1102-9-1/1</t>
  </si>
  <si>
    <t>)*5</t>
  </si>
  <si>
    <t>8</t>
  </si>
  <si>
    <t>5.3-1102-25-1/1</t>
  </si>
  <si>
    <t>Сбор и перемещение снега и скола к месту временного размещения механизированным способом, объем ковша погрузчика до 0,5 м3 - перемещение на 250 м</t>
  </si>
  <si>
    <t>СН-2012.5 Выпуск № 5 (в текущих ценах по состоянию на 01.10.2025 г.). 5.3-1102-25-1/1</t>
  </si>
  <si>
    <t>9</t>
  </si>
  <si>
    <t>5.3-1102-14-1/1</t>
  </si>
  <si>
    <t>Погрузка снега средствами малой механизации</t>
  </si>
  <si>
    <t>СН-2012.5 Выпуск № 5 (в текущих ценах по состоянию на 01.10.2025 г.). 5.3-1102-14-1/1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</si>
  <si>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</si>
  <si>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</si>
  <si>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</si>
  <si>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</si>
  <si>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</si>
  <si>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</si>
  <si>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</si>
  <si>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</si>
  <si>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</si>
  <si>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</si>
  <si>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</si>
  <si>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</si>
  <si>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</si>
  <si>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</si>
  <si>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</si>
  <si>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</si>
  <si>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</si>
  <si>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</si>
  <si>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</si>
  <si>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</si>
  <si>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</si>
  <si>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</si>
  <si>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</si>
  <si>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</si>
  <si>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</si>
  <si>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</si>
  <si>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</si>
  <si>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</si>
  <si>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</si>
  <si>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</si>
  <si>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</si>
  <si>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</si>
  <si>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</si>
  <si>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</si>
  <si>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</si>
  <si>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</si>
  <si>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</si>
  <si>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</si>
  <si>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</si>
  <si>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</si>
  <si>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</si>
  <si>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</si>
  <si>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</si>
  <si>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</si>
  <si>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</si>
  <si>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</si>
  <si>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</si>
  <si>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</si>
  <si>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</si>
  <si>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</si>
  <si>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</si>
  <si>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</si>
  <si>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</si>
  <si>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</si>
  <si>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10</t>
  </si>
  <si>
    <t>)*57</t>
  </si>
  <si>
    <t>10,1</t>
  </si>
  <si>
    <t>11</t>
  </si>
  <si>
    <t>12</t>
  </si>
  <si>
    <t>5.3-1101-15-4/1</t>
  </si>
  <si>
    <t>Полив тротуаров, придомовых и внутрибольничных проездов средствами малой механизации</t>
  </si>
  <si>
    <t>СН-2012.5 Выпуск № 5 (в текущих ценах по состоянию на 01.10.2025 г.). 5.3-1101-15-4/1</t>
  </si>
  <si>
    <t>)*10</t>
  </si>
  <si>
    <t>5.3-1101-15-5/1</t>
  </si>
  <si>
    <t>Мытье тротуаров, придомовых и внутрибольничных проездов средствами малой механизации</t>
  </si>
  <si>
    <t>СН-2012.5 Выпуск № 5 (в текущих ценах по состоянию на 01.10.2025 г.). 5.3-1101-15-5/1</t>
  </si>
  <si>
    <t>5.4-1201-3-2/1</t>
  </si>
  <si>
    <t>Уборка газонов от опавших листьев и мусора пневмомашиной</t>
  </si>
  <si>
    <t>СН-2012.5 Выпуск № 5 (в текущих ценах по состоянию на 01.10.2025 г.). 5.4-1201-3-2/1</t>
  </si>
  <si>
    <t>)*2</t>
  </si>
  <si>
    <t>5.4-1201-3-1/1</t>
  </si>
  <si>
    <t>Уборка газонов от опавших листьев и мусора вручную</t>
  </si>
  <si>
    <t>СН-2012.5 Выпуск № 5 (в текущих ценах по состоянию на 01.10.2025 г.). 5.4-1201-3-1/1</t>
  </si>
  <si>
    <t>5.4-1201-3-3/1</t>
  </si>
  <si>
    <t>Уборка опавшей листвы в мешки с погрузкой</t>
  </si>
  <si>
    <t>СН-2012.5 Выпуск № 5 (в текущих ценах по состоянию на 01.10.2025 г.). 5.4-1201-3-3/1</t>
  </si>
  <si>
    <t>13</t>
  </si>
  <si>
    <t>5.4-1201-1-1/1</t>
  </si>
  <si>
    <t>Сбор случайного мусора по территории</t>
  </si>
  <si>
    <t>СН-2012.5 Выпуск № 5 (в текущих ценах по состоянию на 01.10.2025 г.). 5.4-1201-1-1/1</t>
  </si>
  <si>
    <t>)*199</t>
  </si>
  <si>
    <t>14</t>
  </si>
  <si>
    <t>5.4-3201-7-2/1</t>
  </si>
  <si>
    <t>Выкашивание газонов газонокосилкой</t>
  </si>
  <si>
    <t>СН-2012.5 Выпуск № 5 (в текущих ценах по состоянию на 01.10.2025 г.). 5.4-3201-7-2/1</t>
  </si>
  <si>
    <t>5.4-3405-7-1/1</t>
  </si>
  <si>
    <t>Полив зеленых насаждений из шланга поливомоечной машины</t>
  </si>
  <si>
    <t>СН-2012.5 Выпуск № 5 (в текущих ценах по состоянию на 01.10.2025 г.). 5.4-3405-7-1/1</t>
  </si>
  <si>
    <t>5.4-3405-22-1/1</t>
  </si>
  <si>
    <t>Внесение минеральных удобрений - равномерное внесение в почву сухих минеральных удобрений (без стоимости материалов)</t>
  </si>
  <si>
    <t>СН-2012.5 Выпуск № 5 (в текущих ценах по состоянию на 01.10.2025 г.). 5.4-3405-22-1/1</t>
  </si>
  <si>
    <t>21.4-4-17</t>
  </si>
  <si>
    <t>Удобрения комплексные минеральные для газонов</t>
  </si>
  <si>
    <t>кг</t>
  </si>
  <si>
    <t>СН-2012.21 Выпуск № 5 (в текущих ценах по состоянию на 01.10.2025 г.). 21.4-4-17</t>
  </si>
  <si>
    <t>НДС 20%</t>
  </si>
  <si>
    <t>Итого с НДС</t>
  </si>
  <si>
    <t>и1</t>
  </si>
  <si>
    <t>Итого</t>
  </si>
  <si>
    <t>и2</t>
  </si>
  <si>
    <t>и3</t>
  </si>
  <si>
    <t>Уровень цен на 01.10.2025</t>
  </si>
  <si>
    <t>_OBSM_</t>
  </si>
  <si>
    <t>22.1-17-199</t>
  </si>
  <si>
    <t>СН-2012.22 Выпуск № 5 (в текущих ценах по состоянию на 01.10.2025 г.). 22.1-17-199</t>
  </si>
  <si>
    <t>Снегоочистители на базе мини-погрузчика грузоподъемностью до 1 т</t>
  </si>
  <si>
    <t>маш.-ч</t>
  </si>
  <si>
    <t>9999990008</t>
  </si>
  <si>
    <t>Трудозатраты рабочих</t>
  </si>
  <si>
    <t>чел.-ч.</t>
  </si>
  <si>
    <t>22.1-17-200</t>
  </si>
  <si>
    <t>СН-2012.22 Выпуск № 5 (в текущих ценах по состоянию на 01.10.2025 г.). 22.1-17-200</t>
  </si>
  <si>
    <t>Подметально-уборочные машины на базе мини-погрузчика грузоподъемностью до 1 т</t>
  </si>
  <si>
    <t>21.1-25-991</t>
  </si>
  <si>
    <t>СН-2012.21 Выпуск № 5 (в текущих ценах по состоянию на 01.10.2025 г.). 21.1-25-991</t>
  </si>
  <si>
    <t>Композиция (твердый многокомпонентный реагент противогололедный) на основе хлорида кальция и хлорида натрия (ХКНтв.), эффективность до -25°C</t>
  </si>
  <si>
    <t>22.1-17-198</t>
  </si>
  <si>
    <t>СН-2012.22 Выпуск № 5 (в текущих ценах по состоянию на 01.10.2025 г.). 22.1-17-198</t>
  </si>
  <si>
    <t>Разбрасыватели противогололедных материалов на базе мини-погрузчика грузоподъемностью до 1 т</t>
  </si>
  <si>
    <t>22.1-4-91</t>
  </si>
  <si>
    <t>СН-2012.22 Выпуск № 5 (в текущих ценах по состоянию на 01.10.2025 г.). 22.1-4-91</t>
  </si>
  <si>
    <t>Мини-погрузчики многофункциональные, грузоподъемность до 1 т</t>
  </si>
  <si>
    <t>21.1-24-31</t>
  </si>
  <si>
    <t>СН-2012.21 Выпуск № 5 (в текущих ценах по состоянию на 01.10.2025 г.). 21.1-24-31</t>
  </si>
  <si>
    <t>Средство моющее концентрированное для очистки от комплексных и атмосферных загрязнений, нефтепродуктов, экологически безопасное, биоразлагаемое, типа "Транс-пол"</t>
  </si>
  <si>
    <t>л</t>
  </si>
  <si>
    <t>22.1-17-201</t>
  </si>
  <si>
    <t>СН-2012.22 Выпуск № 5 (в текущих ценах по состоянию на 01.10.2025 г.). 22.1-17-201</t>
  </si>
  <si>
    <t>Пылесосы (воздуходувки) садовые, объем подачи воздуха до 800 м3/ч</t>
  </si>
  <si>
    <t>22.1-18-7</t>
  </si>
  <si>
    <t>СН-2012.22 Выпуск № 5 (в текущих ценах по состоянию на 01.10.2025 г.). 22.1-18-7</t>
  </si>
  <si>
    <t>Автомобили грузовые бортовые, грузоподъемность до 5 т</t>
  </si>
  <si>
    <t>21.1-25-637</t>
  </si>
  <si>
    <t>СН-2012.21 Выпуск № 5 (в текущих ценах по состоянию на 01.10.2025 г.). 21.1-25-637</t>
  </si>
  <si>
    <t>Пакеты ПНД для мусора, объем пакета 120 л</t>
  </si>
  <si>
    <t>шт.</t>
  </si>
  <si>
    <t>22.1-17-36</t>
  </si>
  <si>
    <t>СН-2012.22 Выпуск № 5 (в текущих ценах по состоянию на 01.10.2025 г.). 22.1-17-36</t>
  </si>
  <si>
    <t>Косилки моторные</t>
  </si>
  <si>
    <t>22.1-5-18</t>
  </si>
  <si>
    <t>СН-2012.22 Выпуск № 5 (в текущих ценах по состоянию на 01.10.2025 г.). 22.1-5-18</t>
  </si>
  <si>
    <t>Поливомоечные машины, емкость цистерны более 5000 л</t>
  </si>
  <si>
    <t>2189010000</t>
  </si>
  <si>
    <t>Удобрения минеральные сухие</t>
  </si>
  <si>
    <t>"СОГЛАСОВАНО"</t>
  </si>
  <si>
    <t>"УТВЕРЖДАЮ"</t>
  </si>
  <si>
    <t>Форма № 1а (глава 1-5)</t>
  </si>
  <si>
    <t>"_____"________________ 2025 г.</t>
  </si>
  <si>
    <t>(наименование объекта)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</si>
  <si>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</si>
  <si>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</si>
  <si>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</si>
  <si>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</si>
  <si>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</si>
  <si>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</si>
  <si>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</si>
  <si>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</si>
  <si>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</si>
  <si>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</si>
  <si>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стоимостного норматива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</si>
  <si>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</si>
  <si>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</si>
  <si>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</si>
  <si>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</si>
  <si>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</si>
  <si>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</si>
  <si>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</si>
  <si>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</si>
  <si>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</si>
  <si>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 xml:space="preserve">ЗТР, всего чел.-час
</t>
  </si>
  <si>
    <t xml:space="preserve">Ст-ть ед. с начислен.
</t>
  </si>
  <si>
    <t>Составлен(а) в уровне текущих (прогнозных) цен на IV квартал 2025 года</t>
  </si>
  <si>
    <t>ЭМ</t>
  </si>
  <si>
    <t>в т.ч. ЗПМ</t>
  </si>
  <si>
    <t>НР и НП от ЗПМ</t>
  </si>
  <si>
    <t>%</t>
  </si>
  <si>
    <t>ЗП</t>
  </si>
  <si>
    <t>НР от ЗП</t>
  </si>
  <si>
    <t>НП от ЗП</t>
  </si>
  <si>
    <t>ЗТР</t>
  </si>
  <si>
    <t>чел-ч</t>
  </si>
  <si>
    <t>МР</t>
  </si>
  <si>
    <t>к нр )*50</t>
  </si>
  <si>
    <t>к нр )*57</t>
  </si>
  <si>
    <t xml:space="preserve">Составил   </t>
  </si>
  <si>
    <t>[должность,подпись(инициалы,фамилия)]</t>
  </si>
  <si>
    <t xml:space="preserve">Проверил   </t>
  </si>
  <si>
    <t>___________________________</t>
  </si>
  <si>
    <t>" ___ " ___________ 20 ___ г.</t>
  </si>
  <si>
    <t>№ п/п</t>
  </si>
  <si>
    <t>№ в ЛСР</t>
  </si>
  <si>
    <t>Количество</t>
  </si>
  <si>
    <t>Примечание</t>
  </si>
  <si>
    <t>Главный инженер проекта _________________</t>
  </si>
  <si>
    <t>Составил _________________</t>
  </si>
  <si>
    <t xml:space="preserve">Подраздел: ЗИМНЯЯ УБОРКА </t>
  </si>
  <si>
    <t xml:space="preserve">Подраздел: ЛЕТНЯЯ УБОРКА </t>
  </si>
  <si>
    <t xml:space="preserve">Подраздел: УХОД ЗА ЗЕЛЕНЫМИ НАСАЖДЕНИЯМИ </t>
  </si>
  <si>
    <t>НДС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</si>
</sst>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6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164" fontId="9" fillId="0" borderId="0" xfId="0" applyNumberFormat="1" applyFont="1"/>
    <xf numFmtId="1" fontId="9" fillId="0" borderId="0" xfId="0" applyNumberFormat="1" applyFont="1"/>
    <xf numFmtId="0" fontId="9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165" fontId="9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5" fontId="0" fillId="0" borderId="0" xfId="0" applyNumberFormat="1"/>
    <xf numFmtId="0" fontId="15" fillId="0" borderId="0" xfId="0" applyFont="1" applyAlignment="1">
      <alignment horizontal="right"/>
    </xf>
    <xf numFmtId="0" fontId="0" fillId="0" borderId="6" xfId="0" applyBorder="1"/>
    <xf numFmtId="165" fontId="15" fillId="0" borderId="6" xfId="0" applyNumberFormat="1" applyFont="1" applyBorder="1" applyAlignment="1">
      <alignment horizontal="right"/>
    </xf>
    <xf numFmtId="0" fontId="7" fillId="0" borderId="0" xfId="0" applyFont="1" applyAlignment="1">
      <alignment vertical="top" wrapText="1"/>
    </xf>
    <xf numFmtId="0" fontId="9" fillId="0" borderId="0" xfId="0" quotePrefix="1" applyFont="1" applyAlignment="1">
      <alignment horizontal="right" wrapText="1"/>
    </xf>
    <xf numFmtId="0" fontId="15" fillId="0" borderId="0" xfId="0" applyFont="1"/>
    <xf numFmtId="0" fontId="15" fillId="0" borderId="0" xfId="0" applyFont="1" applyAlignment="1">
      <alignment horizontal="left" wrapText="1"/>
    </xf>
    <xf numFmtId="0" fontId="9" fillId="0" borderId="1" xfId="0" applyFont="1" applyBorder="1"/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8" fillId="0" borderId="2" xfId="0" applyFont="1" applyBorder="1" applyAlignment="1">
      <alignment horizontal="center"/>
    </xf>
    <xf numFmtId="165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165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wrapText="1"/>
    </xf>
    <xf numFmtId="165" fontId="15" fillId="0" borderId="6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0" fillId="0" borderId="0" xfId="0"/>
    <xf numFmtId="0" fontId="12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0" fillId="0" borderId="3" xfId="0" applyFont="1" applyBorder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58F29-3E0B-4611-AA13-E84CF572E19E}">
  <sheetPr>
    <pageSetUpPr fitToPage="1"/>
  </sheetPr>
  <dimension ref="A1:AF167"/>
  <sheetViews>
    <sheetView tabSelected="1" topLeftCell="A122" zoomScale="85" zoomScaleNormal="85" workbookViewId="0">
      <selection activeCell="I160" sqref="I160:J160"/>
    </sheetView>
  </sheetViews>
  <sheetFormatPr defaultRowHeight="12.5" x14ac:dyDescent="0.25"/>
  <cols>
    <col min="1" max="1" width="5.54296875" customWidth="1"/>
    <col min="2" max="2" width="11.54296875" customWidth="1"/>
    <col min="3" max="3" width="40.54296875" customWidth="1"/>
    <col min="4" max="6" width="11.54296875" customWidth="1"/>
    <col min="7" max="9" width="12.54296875" customWidth="1"/>
    <col min="10" max="10" width="22.7265625" customWidth="1"/>
    <col min="11" max="11" width="12.54296875" customWidth="1"/>
    <col min="15" max="31" width="0" hidden="1" customWidth="1"/>
    <col min="32" max="32" width="116.54296875" hidden="1" customWidth="1"/>
    <col min="33" max="36" width="0" hidden="1" customWidth="1"/>
  </cols>
  <sheetData>
    <row r="1" spans="1:11" x14ac:dyDescent="0.25">
      <c r="A1" s="7" t="str">
        <f>CONCATENATE(Source!B1, "     СН-2012 (© ГБУ «Аналитический центр», ", "2025", ")")</f>
        <v>Smeta.RU Flash  (495) 974-1589     СН-2012 (© ГБУ «Аналитический центр», 2025)</v>
      </c>
    </row>
    <row r="2" spans="1:11" ht="14" x14ac:dyDescent="0.3">
      <c r="A2" s="8"/>
      <c r="B2" s="8"/>
      <c r="C2" s="8"/>
      <c r="D2" s="8"/>
      <c r="E2" s="8"/>
      <c r="F2" s="8"/>
      <c r="G2" s="8"/>
      <c r="H2" s="8"/>
      <c r="I2" s="8"/>
      <c r="J2" s="50" t="s">
        <v>213</v>
      </c>
      <c r="K2" s="50"/>
    </row>
    <row r="3" spans="1:11" ht="16.5" x14ac:dyDescent="0.35">
      <c r="A3" s="10"/>
      <c r="B3" s="56" t="s">
        <v>211</v>
      </c>
      <c r="C3" s="56"/>
      <c r="D3" s="56"/>
      <c r="E3" s="56"/>
      <c r="F3" s="9"/>
      <c r="G3" s="56" t="s">
        <v>212</v>
      </c>
      <c r="H3" s="56"/>
      <c r="I3" s="56"/>
      <c r="J3" s="56"/>
      <c r="K3" s="56"/>
    </row>
    <row r="4" spans="1:11" ht="14" x14ac:dyDescent="0.3">
      <c r="A4" s="9"/>
      <c r="B4" s="49"/>
      <c r="C4" s="49"/>
      <c r="D4" s="49"/>
      <c r="E4" s="49"/>
      <c r="F4" s="9"/>
      <c r="G4" s="49"/>
      <c r="H4" s="49"/>
      <c r="I4" s="49"/>
      <c r="J4" s="49"/>
      <c r="K4" s="49"/>
    </row>
    <row r="5" spans="1:11" ht="14" x14ac:dyDescent="0.3">
      <c r="A5" s="9"/>
      <c r="B5" s="9"/>
      <c r="C5" s="11"/>
      <c r="D5" s="11"/>
      <c r="E5" s="11"/>
      <c r="F5" s="9"/>
      <c r="G5" s="11"/>
      <c r="H5" s="11"/>
      <c r="I5" s="11"/>
      <c r="J5" s="11"/>
      <c r="K5" s="11"/>
    </row>
    <row r="6" spans="1:11" ht="14" x14ac:dyDescent="0.3">
      <c r="A6" s="11"/>
      <c r="B6" s="49" t="str">
        <f>CONCATENATE("______________________ ", IF(Source!AL12&lt;&gt;"", Source!AL12, ""))</f>
        <v xml:space="preserve">______________________ </v>
      </c>
      <c r="C6" s="49"/>
      <c r="D6" s="49"/>
      <c r="E6" s="49"/>
      <c r="F6" s="9"/>
      <c r="G6" s="49" t="str">
        <f>CONCATENATE("______________________ ", IF(Source!AH12&lt;&gt;"", Source!AH12, ""))</f>
        <v xml:space="preserve">______________________ </v>
      </c>
      <c r="H6" s="49"/>
      <c r="I6" s="49"/>
      <c r="J6" s="49"/>
      <c r="K6" s="49"/>
    </row>
    <row r="7" spans="1:11" ht="14" x14ac:dyDescent="0.3">
      <c r="A7" s="12"/>
      <c r="B7" s="42" t="s">
        <v>214</v>
      </c>
      <c r="C7" s="42"/>
      <c r="D7" s="42"/>
      <c r="E7" s="42"/>
      <c r="F7" s="9"/>
      <c r="G7" s="42" t="s">
        <v>214</v>
      </c>
      <c r="H7" s="42"/>
      <c r="I7" s="42"/>
      <c r="J7" s="42"/>
      <c r="K7" s="42"/>
    </row>
    <row r="9" spans="1:11" ht="14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ht="18" hidden="1" x14ac:dyDescent="0.4">
      <c r="A10" s="53" t="str">
        <f>IF(Source!G12&lt;&gt;"Новый объект", Source!G12, "")</f>
        <v>Зона 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</row>
    <row r="11" spans="1:11" hidden="1" x14ac:dyDescent="0.25">
      <c r="A11" s="38" t="s">
        <v>215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</row>
    <row r="12" spans="1:11" ht="14" hidden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5.5" x14ac:dyDescent="0.35">
      <c r="A13" s="54" t="str">
        <f>CONCATENATE( "ЛОКАЛЬНАЯ СМЕТА № ",IF(Source!F12&lt;&gt;"Новый объект", Source!F12, ""))</f>
        <v xml:space="preserve">ЛОКАЛЬНАЯ СМЕТА № 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x14ac:dyDescent="0.25">
      <c r="A14" s="51" t="s">
        <v>216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</row>
    <row r="15" spans="1:1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ht="18" x14ac:dyDescent="0.4">
      <c r="A16" s="53" t="str">
        <f>IF(Source!G12&lt;&gt;"Новый объект", Source!G12, "")</f>
        <v>Зона 5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1:11" x14ac:dyDescent="0.25">
      <c r="A17" s="51" t="s">
        <v>217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</row>
    <row r="18" spans="1:11" ht="14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</row>
    <row r="19" spans="1:11" ht="14" x14ac:dyDescent="0.3">
      <c r="A19" s="42" t="str">
        <f>CONCATENATE( "Основание: чертежи № ", Source!J12)</f>
        <v xml:space="preserve">Основание: чертежи № 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</row>
    <row r="20" spans="1:11" ht="14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ht="14" x14ac:dyDescent="0.3">
      <c r="A21" s="9"/>
      <c r="B21" s="9"/>
      <c r="C21" s="9"/>
      <c r="D21" s="9"/>
      <c r="E21" s="9"/>
      <c r="F21" s="49" t="s">
        <v>218</v>
      </c>
      <c r="G21" s="49"/>
      <c r="H21" s="49"/>
      <c r="I21" s="43">
        <f>I22+I23+I24+I25</f>
        <v>20161.38</v>
      </c>
      <c r="J21" s="50"/>
      <c r="K21" s="9" t="s">
        <v>219</v>
      </c>
    </row>
    <row r="22" spans="1:11" ht="14" hidden="1" x14ac:dyDescent="0.3">
      <c r="A22" s="9"/>
      <c r="B22" s="9"/>
      <c r="C22" s="9"/>
      <c r="D22" s="9"/>
      <c r="E22" s="9"/>
      <c r="F22" s="49" t="s">
        <v>220</v>
      </c>
      <c r="G22" s="49"/>
      <c r="H22" s="49"/>
      <c r="I22" s="43">
        <f>ROUND((Source!F236)/1000, 2)</f>
        <v>0</v>
      </c>
      <c r="J22" s="50"/>
      <c r="K22" s="9" t="s">
        <v>219</v>
      </c>
    </row>
    <row r="23" spans="1:11" ht="14" hidden="1" x14ac:dyDescent="0.3">
      <c r="A23" s="9"/>
      <c r="B23" s="9"/>
      <c r="C23" s="9"/>
      <c r="D23" s="9"/>
      <c r="E23" s="9"/>
      <c r="F23" s="49" t="s">
        <v>221</v>
      </c>
      <c r="G23" s="49"/>
      <c r="H23" s="49"/>
      <c r="I23" s="43">
        <f>ROUND((Source!F237)/1000, 2)</f>
        <v>0</v>
      </c>
      <c r="J23" s="50"/>
      <c r="K23" s="9" t="s">
        <v>219</v>
      </c>
    </row>
    <row r="24" spans="1:11" ht="14" hidden="1" x14ac:dyDescent="0.3">
      <c r="A24" s="9"/>
      <c r="B24" s="9"/>
      <c r="C24" s="9"/>
      <c r="D24" s="9"/>
      <c r="E24" s="9"/>
      <c r="F24" s="49" t="s">
        <v>222</v>
      </c>
      <c r="G24" s="49"/>
      <c r="H24" s="49"/>
      <c r="I24" s="43">
        <f>ROUND((Source!F228)/1000, 2)</f>
        <v>0</v>
      </c>
      <c r="J24" s="50"/>
      <c r="K24" s="9" t="s">
        <v>219</v>
      </c>
    </row>
    <row r="25" spans="1:11" ht="14" hidden="1" x14ac:dyDescent="0.3">
      <c r="A25" s="9"/>
      <c r="B25" s="9"/>
      <c r="C25" s="9"/>
      <c r="D25" s="9"/>
      <c r="E25" s="9"/>
      <c r="F25" s="49" t="s">
        <v>223</v>
      </c>
      <c r="G25" s="49"/>
      <c r="H25" s="49"/>
      <c r="I25" s="43">
        <f>ROUND((Source!F238+Source!F239)/1000, 2)</f>
        <v>20161.38</v>
      </c>
      <c r="J25" s="50"/>
      <c r="K25" s="9" t="s">
        <v>219</v>
      </c>
    </row>
    <row r="26" spans="1:11" ht="14" x14ac:dyDescent="0.3">
      <c r="A26" s="9"/>
      <c r="B26" s="9"/>
      <c r="C26" s="9"/>
      <c r="D26" s="9"/>
      <c r="E26" s="9"/>
      <c r="F26" s="49" t="s">
        <v>224</v>
      </c>
      <c r="G26" s="49"/>
      <c r="H26" s="49"/>
      <c r="I26" s="43">
        <f>(Source!F234+ Source!F233)/1000</f>
        <v>7508.2044900000001</v>
      </c>
      <c r="J26" s="50"/>
      <c r="K26" s="9" t="s">
        <v>219</v>
      </c>
    </row>
    <row r="27" spans="1:11" ht="14" x14ac:dyDescent="0.3">
      <c r="A27" s="9" t="s">
        <v>238</v>
      </c>
      <c r="B27" s="9"/>
      <c r="C27" s="9"/>
      <c r="D27" s="14"/>
      <c r="E27" s="15"/>
      <c r="F27" s="9"/>
      <c r="G27" s="9"/>
      <c r="H27" s="9"/>
      <c r="I27" s="9"/>
      <c r="J27" s="9"/>
      <c r="K27" s="9"/>
    </row>
    <row r="28" spans="1:11" ht="14.5" x14ac:dyDescent="0.25">
      <c r="A28" s="47" t="s">
        <v>225</v>
      </c>
      <c r="B28" s="47" t="s">
        <v>226</v>
      </c>
      <c r="C28" s="47" t="s">
        <v>227</v>
      </c>
      <c r="D28" s="47" t="s">
        <v>228</v>
      </c>
      <c r="E28" s="47" t="s">
        <v>229</v>
      </c>
      <c r="F28" s="47" t="s">
        <v>230</v>
      </c>
      <c r="G28" s="47" t="s">
        <v>231</v>
      </c>
      <c r="H28" s="47" t="s">
        <v>232</v>
      </c>
      <c r="I28" s="47" t="s">
        <v>233</v>
      </c>
      <c r="J28" s="47" t="s">
        <v>234</v>
      </c>
      <c r="K28" s="17" t="s">
        <v>235</v>
      </c>
    </row>
    <row r="29" spans="1:11" ht="42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18" t="s">
        <v>236</v>
      </c>
    </row>
    <row r="30" spans="1:11" ht="42" x14ac:dyDescent="0.2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18" t="s">
        <v>237</v>
      </c>
    </row>
    <row r="31" spans="1:11" ht="14" x14ac:dyDescent="0.25">
      <c r="A31" s="18">
        <v>1</v>
      </c>
      <c r="B31" s="18">
        <v>2</v>
      </c>
      <c r="C31" s="18">
        <v>3</v>
      </c>
      <c r="D31" s="18">
        <v>4</v>
      </c>
      <c r="E31" s="18">
        <v>5</v>
      </c>
      <c r="F31" s="18">
        <v>6</v>
      </c>
      <c r="G31" s="18">
        <v>7</v>
      </c>
      <c r="H31" s="18">
        <v>8</v>
      </c>
      <c r="I31" s="18">
        <v>9</v>
      </c>
      <c r="J31" s="18">
        <v>10</v>
      </c>
      <c r="K31" s="18">
        <v>11</v>
      </c>
    </row>
    <row r="33" spans="1:22" ht="16.5" x14ac:dyDescent="0.35">
      <c r="A33" s="45" t="str">
        <f>CONCATENATE("Локальная смета: ",IF(Source!G20&lt;&gt;"Новая локальная смета", Source!G20, ""))</f>
        <v>Локальная смета: Локальная смета: Зона №5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</row>
    <row r="35" spans="1:22" ht="16.5" x14ac:dyDescent="0.35">
      <c r="A35" s="45" t="str">
        <f>CONCATENATE("Раздел: ",IF(Source!G24&lt;&gt;"Новый раздел", Source!G24, ""))</f>
        <v>Раздел: Раздел: Основная зона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</row>
    <row r="37" spans="1:22" ht="16.5" x14ac:dyDescent="0.35">
      <c r="A37" s="45" t="str">
        <f>CONCATENATE("Подраздел: ",IF(Source!G28&lt;&gt;"Новый подраздел", Source!G28, ""))</f>
        <v xml:space="preserve">Подраздел: Подраздел: ЗИМНЯЯ УБОРКА 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</row>
    <row r="38" spans="1:22" ht="28" x14ac:dyDescent="0.35">
      <c r="A38" s="19">
        <v>1</v>
      </c>
      <c r="B38" s="19" t="str">
        <f>Source!F32</f>
        <v>5.3-1102-12-1/1</v>
      </c>
      <c r="C38" s="19" t="str">
        <f>Source!G32</f>
        <v>Уборка снега средствами малой механизации</v>
      </c>
      <c r="D38" s="20" t="str">
        <f>Source!H32</f>
        <v>1000 м2</v>
      </c>
      <c r="E38" s="8">
        <f>Source!I32</f>
        <v>43.654879999999999</v>
      </c>
      <c r="F38" s="22"/>
      <c r="G38" s="21"/>
      <c r="H38" s="8"/>
      <c r="I38" s="8"/>
      <c r="J38" s="22"/>
      <c r="K38" s="22"/>
      <c r="Q38">
        <f>ROUND((Source!BZ32/100)*ROUND((Source!AF32*Source!AV32)*Source!I32, 2), 2)</f>
        <v>0</v>
      </c>
      <c r="R38">
        <f>Source!X32</f>
        <v>0</v>
      </c>
      <c r="S38">
        <f>ROUND((Source!CA32/100)*ROUND((Source!AF32*Source!AV32)*Source!I32, 2), 2)</f>
        <v>0</v>
      </c>
      <c r="T38">
        <f>Source!Y32</f>
        <v>0</v>
      </c>
      <c r="U38">
        <f>ROUND((175/100)*ROUND((Source!AE32*Source!AV32)*Source!I32, 2), 2)</f>
        <v>666922.15</v>
      </c>
      <c r="V38">
        <f>ROUND((108/100)*ROUND(Source!CS32*Source!I32, 2), 2)</f>
        <v>411586.24</v>
      </c>
    </row>
    <row r="39" spans="1:22" ht="14.5" x14ac:dyDescent="0.35">
      <c r="A39" s="19"/>
      <c r="B39" s="19"/>
      <c r="C39" s="19" t="s">
        <v>239</v>
      </c>
      <c r="D39" s="20"/>
      <c r="E39" s="8"/>
      <c r="F39" s="22">
        <f>Source!AM32</f>
        <v>1257.99</v>
      </c>
      <c r="G39" s="21" t="str">
        <f>Source!DE32</f>
        <v>)*20</v>
      </c>
      <c r="H39" s="8">
        <f>Source!AV32</f>
        <v>1</v>
      </c>
      <c r="I39" s="8">
        <f>IF(Source!BB32&lt;&gt; 0, Source!BB32, 1)</f>
        <v>1</v>
      </c>
      <c r="J39" s="22">
        <f>Source!Q32</f>
        <v>1098348.05</v>
      </c>
      <c r="K39" s="22"/>
    </row>
    <row r="40" spans="1:22" ht="14.5" x14ac:dyDescent="0.35">
      <c r="A40" s="19"/>
      <c r="B40" s="19"/>
      <c r="C40" s="19" t="s">
        <v>240</v>
      </c>
      <c r="D40" s="20"/>
      <c r="E40" s="8"/>
      <c r="F40" s="22">
        <f>Source!AN32</f>
        <v>436.49</v>
      </c>
      <c r="G40" s="21" t="str">
        <f>Source!DF32</f>
        <v>)*20</v>
      </c>
      <c r="H40" s="8">
        <f>Source!AV32</f>
        <v>1</v>
      </c>
      <c r="I40" s="8">
        <f>IF(Source!BS32&lt;&gt; 0, Source!BS32, 1)</f>
        <v>1</v>
      </c>
      <c r="J40" s="23">
        <f>Source!R32</f>
        <v>381098.37</v>
      </c>
      <c r="K40" s="22"/>
    </row>
    <row r="41" spans="1:22" ht="14.5" x14ac:dyDescent="0.35">
      <c r="A41" s="19"/>
      <c r="B41" s="19"/>
      <c r="C41" s="19" t="s">
        <v>241</v>
      </c>
      <c r="D41" s="20" t="s">
        <v>242</v>
      </c>
      <c r="E41" s="8">
        <f>108</f>
        <v>108</v>
      </c>
      <c r="F41" s="22"/>
      <c r="G41" s="21"/>
      <c r="H41" s="8"/>
      <c r="I41" s="8"/>
      <c r="J41" s="22">
        <f>SUM(V38:V40)</f>
        <v>411586.24</v>
      </c>
      <c r="K41" s="22"/>
    </row>
    <row r="42" spans="1:22" ht="14" x14ac:dyDescent="0.3">
      <c r="A42" s="26"/>
      <c r="B42" s="26"/>
      <c r="C42" s="26"/>
      <c r="D42" s="26"/>
      <c r="E42" s="26"/>
      <c r="F42" s="26"/>
      <c r="G42" s="26"/>
      <c r="H42" s="26"/>
      <c r="I42" s="46">
        <f>J39+J41</f>
        <v>1509934.29</v>
      </c>
      <c r="J42" s="46"/>
      <c r="K42" s="27">
        <f>IF(Source!I32&lt;&gt;0, ROUND(I42/Source!I32, 2), 0)</f>
        <v>34587.980000000003</v>
      </c>
      <c r="P42" s="24">
        <f>I42</f>
        <v>1509934.29</v>
      </c>
    </row>
    <row r="43" spans="1:22" ht="28" x14ac:dyDescent="0.35">
      <c r="A43" s="19">
        <v>2</v>
      </c>
      <c r="B43" s="19" t="str">
        <f>Source!F33</f>
        <v>5.3-1102-8-1/1</v>
      </c>
      <c r="C43" s="19" t="str">
        <f>Source!G33</f>
        <v>Уборка свежевыпавшего снега вручную толщиной слоя до 10 см</v>
      </c>
      <c r="D43" s="20" t="str">
        <f>Source!H33</f>
        <v>100 м2</v>
      </c>
      <c r="E43" s="8">
        <f>Source!I33</f>
        <v>109.13720000000001</v>
      </c>
      <c r="F43" s="22"/>
      <c r="G43" s="21"/>
      <c r="H43" s="8"/>
      <c r="I43" s="8"/>
      <c r="J43" s="22"/>
      <c r="K43" s="22"/>
      <c r="Q43">
        <f>ROUND((Source!BZ33/100)*ROUND((Source!AF33*Source!AV33)*Source!I33, 2), 2)</f>
        <v>450033.79</v>
      </c>
      <c r="R43">
        <f>Source!X33</f>
        <v>450033.79</v>
      </c>
      <c r="S43">
        <f>ROUND((Source!CA33/100)*ROUND((Source!AF33*Source!AV33)*Source!I33, 2), 2)</f>
        <v>64290.54</v>
      </c>
      <c r="T43">
        <f>Source!Y33</f>
        <v>64290.54</v>
      </c>
      <c r="U43">
        <f>ROUND((175/100)*ROUND((Source!AE33*Source!AV33)*Source!I33, 2), 2)</f>
        <v>0</v>
      </c>
      <c r="V43">
        <f>ROUND((108/100)*ROUND(Source!CS33*Source!I33, 2), 2)</f>
        <v>0</v>
      </c>
    </row>
    <row r="44" spans="1:22" ht="14.5" x14ac:dyDescent="0.35">
      <c r="A44" s="19"/>
      <c r="B44" s="19"/>
      <c r="C44" s="19" t="s">
        <v>243</v>
      </c>
      <c r="D44" s="20"/>
      <c r="E44" s="8"/>
      <c r="F44" s="22">
        <f>Source!AO33</f>
        <v>294.54000000000002</v>
      </c>
      <c r="G44" s="21" t="str">
        <f>Source!DG33</f>
        <v>)*20</v>
      </c>
      <c r="H44" s="8">
        <f>Source!AV33</f>
        <v>1</v>
      </c>
      <c r="I44" s="8">
        <f>IF(Source!BA33&lt;&gt; 0, Source!BA33, 1)</f>
        <v>1</v>
      </c>
      <c r="J44" s="22">
        <f>Source!S33</f>
        <v>642905.42000000004</v>
      </c>
      <c r="K44" s="22"/>
    </row>
    <row r="45" spans="1:22" ht="14.5" x14ac:dyDescent="0.35">
      <c r="A45" s="19"/>
      <c r="B45" s="19"/>
      <c r="C45" s="19" t="s">
        <v>244</v>
      </c>
      <c r="D45" s="20" t="s">
        <v>242</v>
      </c>
      <c r="E45" s="8">
        <f>Source!AT33</f>
        <v>70</v>
      </c>
      <c r="F45" s="22"/>
      <c r="G45" s="21"/>
      <c r="H45" s="8"/>
      <c r="I45" s="8"/>
      <c r="J45" s="22">
        <f>SUM(R43:R44)</f>
        <v>450033.79</v>
      </c>
      <c r="K45" s="22"/>
    </row>
    <row r="46" spans="1:22" ht="14.5" x14ac:dyDescent="0.35">
      <c r="A46" s="19"/>
      <c r="B46" s="19"/>
      <c r="C46" s="19" t="s">
        <v>245</v>
      </c>
      <c r="D46" s="20" t="s">
        <v>242</v>
      </c>
      <c r="E46" s="8">
        <f>Source!AU33</f>
        <v>10</v>
      </c>
      <c r="F46" s="22"/>
      <c r="G46" s="21"/>
      <c r="H46" s="8"/>
      <c r="I46" s="8"/>
      <c r="J46" s="22">
        <f>SUM(T43:T45)</f>
        <v>64290.54</v>
      </c>
      <c r="K46" s="22"/>
    </row>
    <row r="47" spans="1:22" ht="14.5" x14ac:dyDescent="0.35">
      <c r="A47" s="19"/>
      <c r="B47" s="19"/>
      <c r="C47" s="19" t="s">
        <v>246</v>
      </c>
      <c r="D47" s="20" t="s">
        <v>247</v>
      </c>
      <c r="E47" s="8">
        <f>Source!AQ33</f>
        <v>0.65</v>
      </c>
      <c r="F47" s="22"/>
      <c r="G47" s="21" t="str">
        <f>Source!DI33</f>
        <v>)*20</v>
      </c>
      <c r="H47" s="8">
        <f>Source!AV33</f>
        <v>1</v>
      </c>
      <c r="I47" s="8"/>
      <c r="J47" s="22"/>
      <c r="K47" s="22">
        <f>Source!U33</f>
        <v>1418.7836000000002</v>
      </c>
    </row>
    <row r="48" spans="1:22" ht="14" x14ac:dyDescent="0.3">
      <c r="A48" s="26"/>
      <c r="B48" s="26"/>
      <c r="C48" s="26"/>
      <c r="D48" s="26"/>
      <c r="E48" s="26"/>
      <c r="F48" s="26"/>
      <c r="G48" s="26"/>
      <c r="H48" s="26"/>
      <c r="I48" s="46">
        <f>J44+J45+J46</f>
        <v>1157229.75</v>
      </c>
      <c r="J48" s="46"/>
      <c r="K48" s="27">
        <f>IF(Source!I33&lt;&gt;0, ROUND(I48/Source!I33, 2), 0)</f>
        <v>10603.44</v>
      </c>
      <c r="P48" s="24">
        <f>I48</f>
        <v>1157229.75</v>
      </c>
    </row>
    <row r="49" spans="1:22" ht="42" x14ac:dyDescent="0.35">
      <c r="A49" s="19">
        <v>3</v>
      </c>
      <c r="B49" s="19" t="str">
        <f>Source!F34</f>
        <v>5.3-1101-15-1/1</v>
      </c>
      <c r="C49" s="19" t="str">
        <f>Source!G34</f>
        <v>Подметание тротуаров, придомовых и внутрибольничных проездов средствами малой механизации</v>
      </c>
      <c r="D49" s="20" t="str">
        <f>Source!H34</f>
        <v>1000 м2</v>
      </c>
      <c r="E49" s="8">
        <f>Source!I34</f>
        <v>43.654879999999999</v>
      </c>
      <c r="F49" s="22"/>
      <c r="G49" s="21"/>
      <c r="H49" s="8"/>
      <c r="I49" s="8"/>
      <c r="J49" s="22"/>
      <c r="K49" s="22"/>
      <c r="Q49">
        <f>ROUND((Source!BZ34/100)*ROUND((Source!AF34*Source!AV34)*Source!I34, 2), 2)</f>
        <v>0</v>
      </c>
      <c r="R49">
        <f>Source!X34</f>
        <v>0</v>
      </c>
      <c r="S49">
        <f>ROUND((Source!CA34/100)*ROUND((Source!AF34*Source!AV34)*Source!I34, 2), 2)</f>
        <v>0</v>
      </c>
      <c r="T49">
        <f>Source!Y34</f>
        <v>0</v>
      </c>
      <c r="U49">
        <f>ROUND((175/100)*ROUND((Source!AE34*Source!AV34)*Source!I34, 2), 2)</f>
        <v>837109.61</v>
      </c>
      <c r="V49">
        <f>ROUND((108/100)*ROUND(Source!CS34*Source!I34, 2), 2)</f>
        <v>516616.22</v>
      </c>
    </row>
    <row r="50" spans="1:22" x14ac:dyDescent="0.25">
      <c r="C50" s="28" t="str">
        <f>"Объем: "&amp;Source!I34&amp;"=43654,88/"&amp;"1000"</f>
        <v>Объем: 43,65488=43654,88/1000</v>
      </c>
    </row>
    <row r="51" spans="1:22" ht="14.5" x14ac:dyDescent="0.35">
      <c r="A51" s="19"/>
      <c r="B51" s="19"/>
      <c r="C51" s="19" t="s">
        <v>239</v>
      </c>
      <c r="D51" s="20"/>
      <c r="E51" s="8"/>
      <c r="F51" s="22">
        <f>Source!AM34</f>
        <v>463.65</v>
      </c>
      <c r="G51" s="21" t="str">
        <f>Source!DE34</f>
        <v>)*50</v>
      </c>
      <c r="H51" s="8">
        <f>Source!AV34</f>
        <v>1</v>
      </c>
      <c r="I51" s="8">
        <f>IF(Source!BB34&lt;&gt; 0, Source!BB34, 1)</f>
        <v>1</v>
      </c>
      <c r="J51" s="22">
        <f>Source!Q34</f>
        <v>1012029.26</v>
      </c>
      <c r="K51" s="22"/>
    </row>
    <row r="52" spans="1:22" ht="14.5" x14ac:dyDescent="0.35">
      <c r="A52" s="19"/>
      <c r="B52" s="19"/>
      <c r="C52" s="19" t="s">
        <v>240</v>
      </c>
      <c r="D52" s="20"/>
      <c r="E52" s="8"/>
      <c r="F52" s="22">
        <f>Source!AN34</f>
        <v>219.15</v>
      </c>
      <c r="G52" s="21" t="str">
        <f>Source!DF34</f>
        <v>)*50</v>
      </c>
      <c r="H52" s="8">
        <f>Source!AV34</f>
        <v>1</v>
      </c>
      <c r="I52" s="8">
        <f>IF(Source!BS34&lt;&gt; 0, Source!BS34, 1)</f>
        <v>1</v>
      </c>
      <c r="J52" s="23">
        <f>Source!R34</f>
        <v>478348.35</v>
      </c>
      <c r="K52" s="22"/>
    </row>
    <row r="53" spans="1:22" ht="14.5" x14ac:dyDescent="0.35">
      <c r="A53" s="19"/>
      <c r="B53" s="19"/>
      <c r="C53" s="19" t="s">
        <v>248</v>
      </c>
      <c r="D53" s="20"/>
      <c r="E53" s="8"/>
      <c r="F53" s="22">
        <f>Source!AL34</f>
        <v>10.96</v>
      </c>
      <c r="G53" s="21" t="str">
        <f>Source!DD34</f>
        <v>)*50</v>
      </c>
      <c r="H53" s="8">
        <f>Source!AW34</f>
        <v>1</v>
      </c>
      <c r="I53" s="8">
        <f>IF(Source!BC34&lt;&gt; 0, Source!BC34, 1)</f>
        <v>1</v>
      </c>
      <c r="J53" s="22">
        <f>Source!P34</f>
        <v>23922.87</v>
      </c>
      <c r="K53" s="22"/>
    </row>
    <row r="54" spans="1:22" ht="14.5" x14ac:dyDescent="0.35">
      <c r="A54" s="19" t="s">
        <v>36</v>
      </c>
      <c r="B54" s="19" t="str">
        <f>Source!F35</f>
        <v>21.1-25-13</v>
      </c>
      <c r="C54" s="19" t="str">
        <f>Source!G35</f>
        <v>Вода</v>
      </c>
      <c r="D54" s="20" t="str">
        <f>Source!H35</f>
        <v>м3</v>
      </c>
      <c r="E54" s="8">
        <f>Source!I35</f>
        <v>-436.54880000000009</v>
      </c>
      <c r="F54" s="22">
        <f>Source!AK35</f>
        <v>54.81</v>
      </c>
      <c r="G54" s="29" t="s">
        <v>249</v>
      </c>
      <c r="H54" s="8">
        <f>Source!AW35</f>
        <v>1</v>
      </c>
      <c r="I54" s="8">
        <f>IF(Source!BC35&lt;&gt; 0, Source!BC35, 1)</f>
        <v>1</v>
      </c>
      <c r="J54" s="22">
        <f>Source!O35</f>
        <v>-23927.24</v>
      </c>
      <c r="K54" s="22"/>
      <c r="Q54">
        <f>ROUND((Source!BZ35/100)*ROUND((Source!AF35*Source!AV35)*Source!I35, 2), 2)</f>
        <v>0</v>
      </c>
      <c r="R54">
        <f>Source!X35</f>
        <v>0</v>
      </c>
      <c r="S54">
        <f>ROUND((Source!CA35/100)*ROUND((Source!AF35*Source!AV35)*Source!I35, 2), 2)</f>
        <v>0</v>
      </c>
      <c r="T54">
        <f>Source!Y35</f>
        <v>0</v>
      </c>
      <c r="U54">
        <f>ROUND((175/100)*ROUND((Source!AE35*Source!AV35)*Source!I35, 2), 2)</f>
        <v>0</v>
      </c>
      <c r="V54">
        <f>ROUND((108/100)*ROUND(Source!CS35*Source!I35, 2), 2)</f>
        <v>0</v>
      </c>
    </row>
    <row r="55" spans="1:22" ht="14.5" x14ac:dyDescent="0.35">
      <c r="A55" s="19"/>
      <c r="B55" s="19"/>
      <c r="C55" s="19" t="s">
        <v>241</v>
      </c>
      <c r="D55" s="20" t="s">
        <v>242</v>
      </c>
      <c r="E55" s="8">
        <f>108</f>
        <v>108</v>
      </c>
      <c r="F55" s="22"/>
      <c r="G55" s="21"/>
      <c r="H55" s="8"/>
      <c r="I55" s="8"/>
      <c r="J55" s="22">
        <f>SUM(V49:V54)</f>
        <v>516616.22</v>
      </c>
      <c r="K55" s="22"/>
    </row>
    <row r="56" spans="1:22" ht="14" x14ac:dyDescent="0.3">
      <c r="A56" s="26"/>
      <c r="B56" s="26"/>
      <c r="C56" s="26"/>
      <c r="D56" s="26"/>
      <c r="E56" s="26"/>
      <c r="F56" s="26"/>
      <c r="G56" s="26"/>
      <c r="H56" s="26"/>
      <c r="I56" s="46">
        <f>J51+J53+J55+SUM(J54:J54)</f>
        <v>1528641.11</v>
      </c>
      <c r="J56" s="46"/>
      <c r="K56" s="27">
        <f>IF(Source!I34&lt;&gt;0, ROUND(I56/Source!I34, 2), 0)</f>
        <v>35016.5</v>
      </c>
      <c r="P56" s="24">
        <f>I56</f>
        <v>1528641.11</v>
      </c>
    </row>
    <row r="57" spans="1:22" ht="28" x14ac:dyDescent="0.35">
      <c r="A57" s="19">
        <v>4</v>
      </c>
      <c r="B57" s="19" t="str">
        <f>Source!F36</f>
        <v>5.3-1101-13-1/1</v>
      </c>
      <c r="C57" s="19" t="str">
        <f>Source!G36</f>
        <v>Подметание вручную дорожек и площадок с твердым покрытием</v>
      </c>
      <c r="D57" s="20" t="str">
        <f>Source!H36</f>
        <v>100 м2</v>
      </c>
      <c r="E57" s="8">
        <f>Source!I36</f>
        <v>109.13720000000001</v>
      </c>
      <c r="F57" s="22"/>
      <c r="G57" s="21"/>
      <c r="H57" s="8"/>
      <c r="I57" s="8"/>
      <c r="J57" s="22"/>
      <c r="K57" s="22"/>
      <c r="Q57">
        <f>ROUND((Source!BZ36/100)*ROUND((Source!AF36*Source!AV36)*Source!I36, 2), 2)</f>
        <v>242328.24</v>
      </c>
      <c r="R57">
        <f>Source!X36</f>
        <v>242328.24</v>
      </c>
      <c r="S57">
        <f>ROUND((Source!CA36/100)*ROUND((Source!AF36*Source!AV36)*Source!I36, 2), 2)</f>
        <v>34618.32</v>
      </c>
      <c r="T57">
        <f>Source!Y36</f>
        <v>34618.32</v>
      </c>
      <c r="U57">
        <f>ROUND((175/100)*ROUND((Source!AE36*Source!AV36)*Source!I36, 2), 2)</f>
        <v>0</v>
      </c>
      <c r="V57">
        <f>ROUND((108/100)*ROUND(Source!CS36*Source!I36, 2), 2)</f>
        <v>0</v>
      </c>
    </row>
    <row r="58" spans="1:22" ht="14.5" x14ac:dyDescent="0.35">
      <c r="A58" s="19"/>
      <c r="B58" s="19"/>
      <c r="C58" s="19" t="s">
        <v>243</v>
      </c>
      <c r="D58" s="20"/>
      <c r="E58" s="8"/>
      <c r="F58" s="22">
        <f>Source!AO36</f>
        <v>63.44</v>
      </c>
      <c r="G58" s="21" t="str">
        <f>Source!DG36</f>
        <v>)*50</v>
      </c>
      <c r="H58" s="8">
        <f>Source!AV36</f>
        <v>1</v>
      </c>
      <c r="I58" s="8">
        <f>IF(Source!BA36&lt;&gt; 0, Source!BA36, 1)</f>
        <v>1</v>
      </c>
      <c r="J58" s="22">
        <f>Source!S36</f>
        <v>346183.2</v>
      </c>
      <c r="K58" s="22"/>
    </row>
    <row r="59" spans="1:22" ht="14.5" x14ac:dyDescent="0.35">
      <c r="A59" s="19"/>
      <c r="B59" s="19"/>
      <c r="C59" s="19" t="s">
        <v>244</v>
      </c>
      <c r="D59" s="20" t="s">
        <v>242</v>
      </c>
      <c r="E59" s="8">
        <f>Source!AT36</f>
        <v>70</v>
      </c>
      <c r="F59" s="22"/>
      <c r="G59" s="21"/>
      <c r="H59" s="8"/>
      <c r="I59" s="8"/>
      <c r="J59" s="22">
        <f>SUM(R57:R58)</f>
        <v>242328.24</v>
      </c>
      <c r="K59" s="22"/>
    </row>
    <row r="60" spans="1:22" ht="14.5" x14ac:dyDescent="0.35">
      <c r="A60" s="19"/>
      <c r="B60" s="19"/>
      <c r="C60" s="19" t="s">
        <v>245</v>
      </c>
      <c r="D60" s="20" t="s">
        <v>242</v>
      </c>
      <c r="E60" s="8">
        <f>Source!AU36</f>
        <v>10</v>
      </c>
      <c r="F60" s="22"/>
      <c r="G60" s="21"/>
      <c r="H60" s="8"/>
      <c r="I60" s="8"/>
      <c r="J60" s="22">
        <f>SUM(T57:T59)</f>
        <v>34618.32</v>
      </c>
      <c r="K60" s="22"/>
    </row>
    <row r="61" spans="1:22" ht="14.5" x14ac:dyDescent="0.35">
      <c r="A61" s="19"/>
      <c r="B61" s="19"/>
      <c r="C61" s="19" t="s">
        <v>246</v>
      </c>
      <c r="D61" s="20" t="s">
        <v>247</v>
      </c>
      <c r="E61" s="8">
        <f>Source!AQ36</f>
        <v>0.14000000000000001</v>
      </c>
      <c r="F61" s="22"/>
      <c r="G61" s="21" t="str">
        <f>Source!DI36</f>
        <v>)*50</v>
      </c>
      <c r="H61" s="8">
        <f>Source!AV36</f>
        <v>1</v>
      </c>
      <c r="I61" s="8"/>
      <c r="J61" s="22"/>
      <c r="K61" s="22">
        <f>Source!U36</f>
        <v>763.96040000000016</v>
      </c>
    </row>
    <row r="62" spans="1:22" ht="14" x14ac:dyDescent="0.3">
      <c r="A62" s="26"/>
      <c r="B62" s="26"/>
      <c r="C62" s="26"/>
      <c r="D62" s="26"/>
      <c r="E62" s="26"/>
      <c r="F62" s="26"/>
      <c r="G62" s="26"/>
      <c r="H62" s="26"/>
      <c r="I62" s="46">
        <f>J58+J59+J60</f>
        <v>623129.75999999989</v>
      </c>
      <c r="J62" s="46"/>
      <c r="K62" s="27">
        <f>IF(Source!I36&lt;&gt;0, ROUND(I62/Source!I36, 2), 0)</f>
        <v>5709.6</v>
      </c>
      <c r="P62" s="24">
        <f>I62</f>
        <v>623129.75999999989</v>
      </c>
    </row>
    <row r="63" spans="1:22" ht="42" x14ac:dyDescent="0.35">
      <c r="A63" s="19">
        <v>5</v>
      </c>
      <c r="B63" s="19" t="str">
        <f>Source!F37</f>
        <v>5.3-1102-10-3/1</v>
      </c>
      <c r="C63" s="19" t="str">
        <f>Source!G37</f>
        <v>Посыпка противогололедными реагентами ХКНтв дорожных покрытий вручную</v>
      </c>
      <c r="D63" s="20" t="str">
        <f>Source!H37</f>
        <v>100 м2</v>
      </c>
      <c r="E63" s="8">
        <f>Source!I37</f>
        <v>109.13720000000001</v>
      </c>
      <c r="F63" s="22"/>
      <c r="G63" s="21"/>
      <c r="H63" s="8"/>
      <c r="I63" s="8"/>
      <c r="J63" s="22"/>
      <c r="K63" s="22"/>
      <c r="Q63">
        <f>ROUND((Source!BZ37/100)*ROUND((Source!AF37*Source!AV37)*Source!I37, 2), 2)</f>
        <v>155779.16</v>
      </c>
      <c r="R63">
        <f>Source!X37</f>
        <v>155779.16</v>
      </c>
      <c r="S63">
        <f>ROUND((Source!CA37/100)*ROUND((Source!AF37*Source!AV37)*Source!I37, 2), 2)</f>
        <v>22254.17</v>
      </c>
      <c r="T63">
        <f>Source!Y37</f>
        <v>22254.17</v>
      </c>
      <c r="U63">
        <f>ROUND((175/100)*ROUND((Source!AE37*Source!AV37)*Source!I37, 2), 2)</f>
        <v>0</v>
      </c>
      <c r="V63">
        <f>ROUND((108/100)*ROUND(Source!CS37*Source!I37, 2), 2)</f>
        <v>0</v>
      </c>
    </row>
    <row r="64" spans="1:22" ht="14.5" x14ac:dyDescent="0.35">
      <c r="A64" s="19"/>
      <c r="B64" s="19"/>
      <c r="C64" s="19" t="s">
        <v>243</v>
      </c>
      <c r="D64" s="20"/>
      <c r="E64" s="8"/>
      <c r="F64" s="22">
        <f>Source!AO37</f>
        <v>135.94</v>
      </c>
      <c r="G64" s="21" t="str">
        <f>Source!DG37</f>
        <v>)*15</v>
      </c>
      <c r="H64" s="8">
        <f>Source!AV37</f>
        <v>1</v>
      </c>
      <c r="I64" s="8">
        <f>IF(Source!BA37&lt;&gt; 0, Source!BA37, 1)</f>
        <v>1</v>
      </c>
      <c r="J64" s="22">
        <f>Source!S37</f>
        <v>222541.66</v>
      </c>
      <c r="K64" s="22"/>
    </row>
    <row r="65" spans="1:22" ht="14.5" x14ac:dyDescent="0.35">
      <c r="A65" s="19"/>
      <c r="B65" s="19"/>
      <c r="C65" s="19" t="s">
        <v>248</v>
      </c>
      <c r="D65" s="20"/>
      <c r="E65" s="8"/>
      <c r="F65" s="22">
        <f>Source!AL37</f>
        <v>136.5</v>
      </c>
      <c r="G65" s="21" t="str">
        <f>Source!DD37</f>
        <v>)*15</v>
      </c>
      <c r="H65" s="8">
        <f>Source!AW37</f>
        <v>1</v>
      </c>
      <c r="I65" s="8">
        <f>IF(Source!BC37&lt;&gt; 0, Source!BC37, 1)</f>
        <v>1</v>
      </c>
      <c r="J65" s="22">
        <f>Source!P37</f>
        <v>223458.42</v>
      </c>
      <c r="K65" s="22"/>
    </row>
    <row r="66" spans="1:22" ht="14.5" x14ac:dyDescent="0.35">
      <c r="A66" s="19"/>
      <c r="B66" s="19"/>
      <c r="C66" s="19" t="s">
        <v>244</v>
      </c>
      <c r="D66" s="20" t="s">
        <v>242</v>
      </c>
      <c r="E66" s="8">
        <f>Source!AT37</f>
        <v>70</v>
      </c>
      <c r="F66" s="22"/>
      <c r="G66" s="21"/>
      <c r="H66" s="8"/>
      <c r="I66" s="8"/>
      <c r="J66" s="22">
        <f>SUM(R63:R65)</f>
        <v>155779.16</v>
      </c>
      <c r="K66" s="22"/>
    </row>
    <row r="67" spans="1:22" ht="14.5" x14ac:dyDescent="0.35">
      <c r="A67" s="19"/>
      <c r="B67" s="19"/>
      <c r="C67" s="19" t="s">
        <v>245</v>
      </c>
      <c r="D67" s="20" t="s">
        <v>242</v>
      </c>
      <c r="E67" s="8">
        <f>Source!AU37</f>
        <v>10</v>
      </c>
      <c r="F67" s="22"/>
      <c r="G67" s="21"/>
      <c r="H67" s="8"/>
      <c r="I67" s="8"/>
      <c r="J67" s="22">
        <f>SUM(T63:T66)</f>
        <v>22254.17</v>
      </c>
      <c r="K67" s="22"/>
    </row>
    <row r="68" spans="1:22" ht="14.5" x14ac:dyDescent="0.35">
      <c r="A68" s="19"/>
      <c r="B68" s="19"/>
      <c r="C68" s="19" t="s">
        <v>246</v>
      </c>
      <c r="D68" s="20" t="s">
        <v>247</v>
      </c>
      <c r="E68" s="8">
        <f>Source!AQ37</f>
        <v>0.3</v>
      </c>
      <c r="F68" s="22"/>
      <c r="G68" s="21" t="str">
        <f>Source!DI37</f>
        <v>)*15</v>
      </c>
      <c r="H68" s="8">
        <f>Source!AV37</f>
        <v>1</v>
      </c>
      <c r="I68" s="8"/>
      <c r="J68" s="22"/>
      <c r="K68" s="22">
        <f>Source!U37</f>
        <v>491.11740000000003</v>
      </c>
    </row>
    <row r="69" spans="1:22" ht="14" x14ac:dyDescent="0.3">
      <c r="A69" s="26"/>
      <c r="B69" s="26"/>
      <c r="C69" s="26"/>
      <c r="D69" s="26"/>
      <c r="E69" s="26"/>
      <c r="F69" s="26"/>
      <c r="G69" s="26"/>
      <c r="H69" s="26"/>
      <c r="I69" s="46">
        <f>J64+J65+J66+J67</f>
        <v>624033.41</v>
      </c>
      <c r="J69" s="46"/>
      <c r="K69" s="27">
        <f>IF(Source!I37&lt;&gt;0, ROUND(I69/Source!I37, 2), 0)</f>
        <v>5717.88</v>
      </c>
      <c r="P69" s="24">
        <f>I69</f>
        <v>624033.41</v>
      </c>
    </row>
    <row r="70" spans="1:22" ht="42" x14ac:dyDescent="0.35">
      <c r="A70" s="19">
        <v>6</v>
      </c>
      <c r="B70" s="19" t="str">
        <f>Source!F38</f>
        <v>5.3-1102-13-3/1</v>
      </c>
      <c r="C70" s="19" t="str">
        <f>Source!G38</f>
        <v>Посыпка противогололедными реагентами дорожных покрытий средствами малой механизации</v>
      </c>
      <c r="D70" s="20" t="str">
        <f>Source!H38</f>
        <v>1000 м2</v>
      </c>
      <c r="E70" s="8">
        <f>Source!I38</f>
        <v>43.654879999999999</v>
      </c>
      <c r="F70" s="22"/>
      <c r="G70" s="21"/>
      <c r="H70" s="8"/>
      <c r="I70" s="8"/>
      <c r="J70" s="22"/>
      <c r="K70" s="22"/>
      <c r="Q70">
        <f>ROUND((Source!BZ38/100)*ROUND((Source!AF38*Source!AV38)*Source!I38, 2), 2)</f>
        <v>4152.8900000000003</v>
      </c>
      <c r="R70">
        <f>Source!X38</f>
        <v>4152.8900000000003</v>
      </c>
      <c r="S70">
        <f>ROUND((Source!CA38/100)*ROUND((Source!AF38*Source!AV38)*Source!I38, 2), 2)</f>
        <v>593.27</v>
      </c>
      <c r="T70">
        <f>Source!Y38</f>
        <v>593.27</v>
      </c>
      <c r="U70">
        <f>ROUND((175/100)*ROUND((Source!AE38*Source!AV38)*Source!I38, 2), 2)</f>
        <v>76904.070000000007</v>
      </c>
      <c r="V70">
        <f>ROUND((108/100)*ROUND(Source!CS38*Source!I38, 2), 2)</f>
        <v>47460.79</v>
      </c>
    </row>
    <row r="71" spans="1:22" ht="14.5" x14ac:dyDescent="0.35">
      <c r="A71" s="19"/>
      <c r="B71" s="19"/>
      <c r="C71" s="19" t="s">
        <v>243</v>
      </c>
      <c r="D71" s="20"/>
      <c r="E71" s="8"/>
      <c r="F71" s="22">
        <f>Source!AO38</f>
        <v>9.06</v>
      </c>
      <c r="G71" s="21" t="str">
        <f>Source!DG38</f>
        <v>)*15</v>
      </c>
      <c r="H71" s="8">
        <f>Source!AV38</f>
        <v>1</v>
      </c>
      <c r="I71" s="8">
        <f>IF(Source!BA38&lt;&gt; 0, Source!BA38, 1)</f>
        <v>1</v>
      </c>
      <c r="J71" s="22">
        <f>Source!S38</f>
        <v>5932.7</v>
      </c>
      <c r="K71" s="22"/>
    </row>
    <row r="72" spans="1:22" ht="14.5" x14ac:dyDescent="0.35">
      <c r="A72" s="19"/>
      <c r="B72" s="19"/>
      <c r="C72" s="19" t="s">
        <v>239</v>
      </c>
      <c r="D72" s="20"/>
      <c r="E72" s="8"/>
      <c r="F72" s="22">
        <f>Source!AM38</f>
        <v>159.06</v>
      </c>
      <c r="G72" s="21" t="str">
        <f>Source!DE38</f>
        <v>)*15</v>
      </c>
      <c r="H72" s="8">
        <f>Source!AV38</f>
        <v>1</v>
      </c>
      <c r="I72" s="8">
        <f>IF(Source!BB38&lt;&gt; 0, Source!BB38, 1)</f>
        <v>1</v>
      </c>
      <c r="J72" s="22">
        <f>Source!Q38</f>
        <v>104156.18</v>
      </c>
      <c r="K72" s="22"/>
    </row>
    <row r="73" spans="1:22" ht="14.5" x14ac:dyDescent="0.35">
      <c r="A73" s="19"/>
      <c r="B73" s="19"/>
      <c r="C73" s="19" t="s">
        <v>240</v>
      </c>
      <c r="D73" s="20"/>
      <c r="E73" s="8"/>
      <c r="F73" s="22">
        <f>Source!AN38</f>
        <v>67.11</v>
      </c>
      <c r="G73" s="21" t="str">
        <f>Source!DF38</f>
        <v>)*15</v>
      </c>
      <c r="H73" s="8">
        <f>Source!AV38</f>
        <v>1</v>
      </c>
      <c r="I73" s="8">
        <f>IF(Source!BS38&lt;&gt; 0, Source!BS38, 1)</f>
        <v>1</v>
      </c>
      <c r="J73" s="23">
        <f>Source!R38</f>
        <v>43945.18</v>
      </c>
      <c r="K73" s="22"/>
    </row>
    <row r="74" spans="1:22" ht="14.5" x14ac:dyDescent="0.35">
      <c r="A74" s="19"/>
      <c r="B74" s="19"/>
      <c r="C74" s="19" t="s">
        <v>248</v>
      </c>
      <c r="D74" s="20"/>
      <c r="E74" s="8"/>
      <c r="F74" s="22">
        <f>Source!AL38</f>
        <v>1365</v>
      </c>
      <c r="G74" s="21" t="str">
        <f>Source!DD38</f>
        <v>)*15</v>
      </c>
      <c r="H74" s="8">
        <f>Source!AW38</f>
        <v>1</v>
      </c>
      <c r="I74" s="8">
        <f>IF(Source!BC38&lt;&gt; 0, Source!BC38, 1)</f>
        <v>1</v>
      </c>
      <c r="J74" s="22">
        <f>Source!P38</f>
        <v>893833.67</v>
      </c>
      <c r="K74" s="22"/>
    </row>
    <row r="75" spans="1:22" ht="14.5" x14ac:dyDescent="0.35">
      <c r="A75" s="19"/>
      <c r="B75" s="19"/>
      <c r="C75" s="19" t="s">
        <v>244</v>
      </c>
      <c r="D75" s="20" t="s">
        <v>242</v>
      </c>
      <c r="E75" s="8">
        <f>Source!AT38</f>
        <v>70</v>
      </c>
      <c r="F75" s="22"/>
      <c r="G75" s="21"/>
      <c r="H75" s="8"/>
      <c r="I75" s="8"/>
      <c r="J75" s="22">
        <f>SUM(R70:R74)</f>
        <v>4152.8900000000003</v>
      </c>
      <c r="K75" s="22"/>
    </row>
    <row r="76" spans="1:22" ht="14.5" x14ac:dyDescent="0.35">
      <c r="A76" s="19"/>
      <c r="B76" s="19"/>
      <c r="C76" s="19" t="s">
        <v>245</v>
      </c>
      <c r="D76" s="20" t="s">
        <v>242</v>
      </c>
      <c r="E76" s="8">
        <f>Source!AU38</f>
        <v>10</v>
      </c>
      <c r="F76" s="22"/>
      <c r="G76" s="21"/>
      <c r="H76" s="8"/>
      <c r="I76" s="8"/>
      <c r="J76" s="22">
        <f>SUM(T70:T75)</f>
        <v>593.27</v>
      </c>
      <c r="K76" s="22"/>
    </row>
    <row r="77" spans="1:22" ht="14.5" x14ac:dyDescent="0.35">
      <c r="A77" s="19"/>
      <c r="B77" s="19"/>
      <c r="C77" s="19" t="s">
        <v>241</v>
      </c>
      <c r="D77" s="20" t="s">
        <v>242</v>
      </c>
      <c r="E77" s="8">
        <f>108</f>
        <v>108</v>
      </c>
      <c r="F77" s="22"/>
      <c r="G77" s="21"/>
      <c r="H77" s="8"/>
      <c r="I77" s="8"/>
      <c r="J77" s="22">
        <f>SUM(V70:V76)</f>
        <v>47460.79</v>
      </c>
      <c r="K77" s="22"/>
    </row>
    <row r="78" spans="1:22" ht="14.5" x14ac:dyDescent="0.35">
      <c r="A78" s="19"/>
      <c r="B78" s="19"/>
      <c r="C78" s="19" t="s">
        <v>246</v>
      </c>
      <c r="D78" s="20" t="s">
        <v>247</v>
      </c>
      <c r="E78" s="8">
        <f>Source!AQ38</f>
        <v>0.02</v>
      </c>
      <c r="F78" s="22"/>
      <c r="G78" s="21" t="str">
        <f>Source!DI38</f>
        <v>)*15</v>
      </c>
      <c r="H78" s="8">
        <f>Source!AV38</f>
        <v>1</v>
      </c>
      <c r="I78" s="8"/>
      <c r="J78" s="22"/>
      <c r="K78" s="22">
        <f>Source!U38</f>
        <v>13.096463999999999</v>
      </c>
    </row>
    <row r="79" spans="1:22" ht="14" x14ac:dyDescent="0.3">
      <c r="A79" s="26"/>
      <c r="B79" s="26"/>
      <c r="C79" s="26"/>
      <c r="D79" s="26"/>
      <c r="E79" s="26"/>
      <c r="F79" s="26"/>
      <c r="G79" s="26"/>
      <c r="H79" s="26"/>
      <c r="I79" s="46">
        <f>J71+J72+J74+J75+J76+J77</f>
        <v>1056129.5</v>
      </c>
      <c r="J79" s="46"/>
      <c r="K79" s="27">
        <f>IF(Source!I38&lt;&gt;0, ROUND(I79/Source!I38, 2), 0)</f>
        <v>24192.7</v>
      </c>
      <c r="P79" s="24">
        <f>I79</f>
        <v>1056129.5</v>
      </c>
    </row>
    <row r="80" spans="1:22" ht="28" x14ac:dyDescent="0.35">
      <c r="A80" s="19">
        <v>7</v>
      </c>
      <c r="B80" s="19" t="str">
        <f>Source!F39</f>
        <v>5.3-1102-9-1/1</v>
      </c>
      <c r="C80" s="19" t="str">
        <f>Source!G39</f>
        <v>Колка льда на обледеневших покрытиях вручную</v>
      </c>
      <c r="D80" s="20" t="str">
        <f>Source!H39</f>
        <v>100 м2</v>
      </c>
      <c r="E80" s="8">
        <f>Source!I39</f>
        <v>5.4569000000000001</v>
      </c>
      <c r="F80" s="22"/>
      <c r="G80" s="21"/>
      <c r="H80" s="8"/>
      <c r="I80" s="8"/>
      <c r="J80" s="22"/>
      <c r="K80" s="22"/>
      <c r="Q80">
        <f>ROUND((Source!BZ39/100)*ROUND((Source!AF39*Source!AV39)*Source!I39, 2), 2)</f>
        <v>20857.61</v>
      </c>
      <c r="R80">
        <f>Source!X39</f>
        <v>20857.61</v>
      </c>
      <c r="S80">
        <f>ROUND((Source!CA39/100)*ROUND((Source!AF39*Source!AV39)*Source!I39, 2), 2)</f>
        <v>2979.66</v>
      </c>
      <c r="T80">
        <f>Source!Y39</f>
        <v>2979.66</v>
      </c>
      <c r="U80">
        <f>ROUND((175/100)*ROUND((Source!AE39*Source!AV39)*Source!I39, 2), 2)</f>
        <v>0</v>
      </c>
      <c r="V80">
        <f>ROUND((108/100)*ROUND(Source!CS39*Source!I39, 2), 2)</f>
        <v>0</v>
      </c>
    </row>
    <row r="81" spans="1:22" ht="14.5" x14ac:dyDescent="0.35">
      <c r="A81" s="19"/>
      <c r="B81" s="19"/>
      <c r="C81" s="19" t="s">
        <v>243</v>
      </c>
      <c r="D81" s="20"/>
      <c r="E81" s="8"/>
      <c r="F81" s="22">
        <f>Source!AO39</f>
        <v>1092.07</v>
      </c>
      <c r="G81" s="21" t="str">
        <f>Source!DG39</f>
        <v>)*5</v>
      </c>
      <c r="H81" s="8">
        <f>Source!AV39</f>
        <v>1</v>
      </c>
      <c r="I81" s="8">
        <f>IF(Source!BA39&lt;&gt; 0, Source!BA39, 1)</f>
        <v>1</v>
      </c>
      <c r="J81" s="22">
        <f>Source!S39</f>
        <v>29796.58</v>
      </c>
      <c r="K81" s="22"/>
    </row>
    <row r="82" spans="1:22" ht="14.5" x14ac:dyDescent="0.35">
      <c r="A82" s="19"/>
      <c r="B82" s="19"/>
      <c r="C82" s="19" t="s">
        <v>244</v>
      </c>
      <c r="D82" s="20" t="s">
        <v>242</v>
      </c>
      <c r="E82" s="8">
        <f>Source!AT39</f>
        <v>70</v>
      </c>
      <c r="F82" s="22"/>
      <c r="G82" s="21"/>
      <c r="H82" s="8"/>
      <c r="I82" s="8"/>
      <c r="J82" s="22">
        <f>SUM(R80:R81)</f>
        <v>20857.61</v>
      </c>
      <c r="K82" s="22"/>
    </row>
    <row r="83" spans="1:22" ht="14.5" x14ac:dyDescent="0.35">
      <c r="A83" s="19"/>
      <c r="B83" s="19"/>
      <c r="C83" s="19" t="s">
        <v>245</v>
      </c>
      <c r="D83" s="20" t="s">
        <v>242</v>
      </c>
      <c r="E83" s="8">
        <f>Source!AU39</f>
        <v>10</v>
      </c>
      <c r="F83" s="22"/>
      <c r="G83" s="21"/>
      <c r="H83" s="8"/>
      <c r="I83" s="8"/>
      <c r="J83" s="22">
        <f>SUM(T80:T82)</f>
        <v>2979.66</v>
      </c>
      <c r="K83" s="22"/>
    </row>
    <row r="84" spans="1:22" ht="14.5" x14ac:dyDescent="0.35">
      <c r="A84" s="19"/>
      <c r="B84" s="19"/>
      <c r="C84" s="19" t="s">
        <v>246</v>
      </c>
      <c r="D84" s="20" t="s">
        <v>247</v>
      </c>
      <c r="E84" s="8">
        <f>Source!AQ39</f>
        <v>2.41</v>
      </c>
      <c r="F84" s="22"/>
      <c r="G84" s="21" t="str">
        <f>Source!DI39</f>
        <v>)*5</v>
      </c>
      <c r="H84" s="8">
        <f>Source!AV39</f>
        <v>1</v>
      </c>
      <c r="I84" s="8"/>
      <c r="J84" s="22"/>
      <c r="K84" s="22">
        <f>Source!U39</f>
        <v>65.755645000000001</v>
      </c>
    </row>
    <row r="85" spans="1:22" ht="14" x14ac:dyDescent="0.3">
      <c r="A85" s="26"/>
      <c r="B85" s="26"/>
      <c r="C85" s="26"/>
      <c r="D85" s="26"/>
      <c r="E85" s="26"/>
      <c r="F85" s="26"/>
      <c r="G85" s="26"/>
      <c r="H85" s="26"/>
      <c r="I85" s="46">
        <f>J81+J82+J83</f>
        <v>53633.850000000006</v>
      </c>
      <c r="J85" s="46"/>
      <c r="K85" s="27">
        <f>IF(Source!I39&lt;&gt;0, ROUND(I85/Source!I39, 2), 0)</f>
        <v>9828.6299999999992</v>
      </c>
      <c r="P85" s="24">
        <f>I85</f>
        <v>53633.850000000006</v>
      </c>
    </row>
    <row r="86" spans="1:22" ht="70" x14ac:dyDescent="0.35">
      <c r="A86" s="19">
        <v>8</v>
      </c>
      <c r="B86" s="19" t="str">
        <f>Source!F40</f>
        <v>5.3-1102-25-1/1</v>
      </c>
      <c r="C86" s="19" t="str">
        <f>Source!G40</f>
        <v>Сбор и перемещение снега и скола к месту временного размещения механизированным способом, объем ковша погрузчика до 0,5 м3 - перемещение на 250 м</v>
      </c>
      <c r="D86" s="20" t="str">
        <f>Source!H40</f>
        <v>м3</v>
      </c>
      <c r="E86" s="8">
        <f>Source!I40</f>
        <v>4911.18</v>
      </c>
      <c r="F86" s="22"/>
      <c r="G86" s="21"/>
      <c r="H86" s="8"/>
      <c r="I86" s="8"/>
      <c r="J86" s="22"/>
      <c r="K86" s="22"/>
      <c r="Q86">
        <f>ROUND((Source!BZ40/100)*ROUND((Source!AF40*Source!AV40)*Source!I40, 2), 2)</f>
        <v>576385.91</v>
      </c>
      <c r="R86">
        <f>Source!X40</f>
        <v>576385.91</v>
      </c>
      <c r="S86">
        <f>ROUND((Source!CA40/100)*ROUND((Source!AF40*Source!AV40)*Source!I40, 2), 2)</f>
        <v>82340.84</v>
      </c>
      <c r="T86">
        <f>Source!Y40</f>
        <v>82340.84</v>
      </c>
      <c r="U86">
        <f>ROUND((175/100)*ROUND((Source!AE40*Source!AV40)*Source!I40, 2), 2)</f>
        <v>3006035.06</v>
      </c>
      <c r="V86">
        <f>ROUND((108/100)*ROUND(Source!CS40*Source!I40, 2), 2)</f>
        <v>1855153.07</v>
      </c>
    </row>
    <row r="87" spans="1:22" ht="14.5" x14ac:dyDescent="0.35">
      <c r="A87" s="19"/>
      <c r="B87" s="19"/>
      <c r="C87" s="19" t="s">
        <v>243</v>
      </c>
      <c r="D87" s="20"/>
      <c r="E87" s="8"/>
      <c r="F87" s="22">
        <f>Source!AO40</f>
        <v>167.66</v>
      </c>
      <c r="G87" s="21" t="str">
        <f>Source!DG40</f>
        <v/>
      </c>
      <c r="H87" s="8">
        <f>Source!AV40</f>
        <v>1</v>
      </c>
      <c r="I87" s="8">
        <f>IF(Source!BA40&lt;&gt; 0, Source!BA40, 1)</f>
        <v>1</v>
      </c>
      <c r="J87" s="22">
        <f>Source!S40</f>
        <v>823408.44</v>
      </c>
      <c r="K87" s="22"/>
    </row>
    <row r="88" spans="1:22" ht="14.5" x14ac:dyDescent="0.35">
      <c r="A88" s="19"/>
      <c r="B88" s="19"/>
      <c r="C88" s="19" t="s">
        <v>239</v>
      </c>
      <c r="D88" s="20"/>
      <c r="E88" s="8"/>
      <c r="F88" s="22">
        <f>Source!AM40</f>
        <v>713</v>
      </c>
      <c r="G88" s="21" t="str">
        <f>Source!DE40</f>
        <v/>
      </c>
      <c r="H88" s="8">
        <f>Source!AV40</f>
        <v>1</v>
      </c>
      <c r="I88" s="8">
        <f>IF(Source!BB40&lt;&gt; 0, Source!BB40, 1)</f>
        <v>1</v>
      </c>
      <c r="J88" s="22">
        <f>Source!Q40</f>
        <v>3501671.34</v>
      </c>
      <c r="K88" s="22"/>
    </row>
    <row r="89" spans="1:22" ht="14.5" x14ac:dyDescent="0.35">
      <c r="A89" s="19"/>
      <c r="B89" s="19"/>
      <c r="C89" s="19" t="s">
        <v>240</v>
      </c>
      <c r="D89" s="20"/>
      <c r="E89" s="8"/>
      <c r="F89" s="22">
        <f>Source!AN40</f>
        <v>349.76</v>
      </c>
      <c r="G89" s="21" t="str">
        <f>Source!DF40</f>
        <v/>
      </c>
      <c r="H89" s="8">
        <f>Source!AV40</f>
        <v>1</v>
      </c>
      <c r="I89" s="8">
        <f>IF(Source!BS40&lt;&gt; 0, Source!BS40, 1)</f>
        <v>1</v>
      </c>
      <c r="J89" s="23">
        <f>Source!R40</f>
        <v>1717734.32</v>
      </c>
      <c r="K89" s="22"/>
    </row>
    <row r="90" spans="1:22" ht="14.5" x14ac:dyDescent="0.35">
      <c r="A90" s="19"/>
      <c r="B90" s="19"/>
      <c r="C90" s="19" t="s">
        <v>244</v>
      </c>
      <c r="D90" s="20" t="s">
        <v>242</v>
      </c>
      <c r="E90" s="8">
        <f>Source!AT40</f>
        <v>70</v>
      </c>
      <c r="F90" s="22"/>
      <c r="G90" s="21"/>
      <c r="H90" s="8"/>
      <c r="I90" s="8"/>
      <c r="J90" s="22">
        <f>SUM(R86:R89)</f>
        <v>576385.91</v>
      </c>
      <c r="K90" s="22"/>
    </row>
    <row r="91" spans="1:22" ht="14.5" x14ac:dyDescent="0.35">
      <c r="A91" s="19"/>
      <c r="B91" s="19"/>
      <c r="C91" s="19" t="s">
        <v>245</v>
      </c>
      <c r="D91" s="20" t="s">
        <v>242</v>
      </c>
      <c r="E91" s="8">
        <f>Source!AU40</f>
        <v>10</v>
      </c>
      <c r="F91" s="22"/>
      <c r="G91" s="21"/>
      <c r="H91" s="8"/>
      <c r="I91" s="8"/>
      <c r="J91" s="22">
        <f>SUM(T86:T90)</f>
        <v>82340.84</v>
      </c>
      <c r="K91" s="22"/>
    </row>
    <row r="92" spans="1:22" ht="14.5" x14ac:dyDescent="0.35">
      <c r="A92" s="19"/>
      <c r="B92" s="19"/>
      <c r="C92" s="19" t="s">
        <v>241</v>
      </c>
      <c r="D92" s="20" t="s">
        <v>242</v>
      </c>
      <c r="E92" s="8">
        <f>108</f>
        <v>108</v>
      </c>
      <c r="F92" s="22"/>
      <c r="G92" s="21"/>
      <c r="H92" s="8"/>
      <c r="I92" s="8"/>
      <c r="J92" s="22">
        <f>SUM(V86:V91)</f>
        <v>1855153.07</v>
      </c>
      <c r="K92" s="22"/>
    </row>
    <row r="93" spans="1:22" ht="14.5" x14ac:dyDescent="0.35">
      <c r="A93" s="19"/>
      <c r="B93" s="19"/>
      <c r="C93" s="19" t="s">
        <v>246</v>
      </c>
      <c r="D93" s="20" t="s">
        <v>247</v>
      </c>
      <c r="E93" s="8">
        <f>Source!AQ40</f>
        <v>0.37</v>
      </c>
      <c r="F93" s="22"/>
      <c r="G93" s="21" t="str">
        <f>Source!DI40</f>
        <v/>
      </c>
      <c r="H93" s="8">
        <f>Source!AV40</f>
        <v>1</v>
      </c>
      <c r="I93" s="8"/>
      <c r="J93" s="22"/>
      <c r="K93" s="22">
        <f>Source!U40</f>
        <v>1817.1366</v>
      </c>
    </row>
    <row r="94" spans="1:22" ht="14" x14ac:dyDescent="0.3">
      <c r="A94" s="26"/>
      <c r="B94" s="26"/>
      <c r="C94" s="26"/>
      <c r="D94" s="26"/>
      <c r="E94" s="26"/>
      <c r="F94" s="26"/>
      <c r="G94" s="26"/>
      <c r="H94" s="26"/>
      <c r="I94" s="46">
        <f>J87+J88+J90+J91+J92</f>
        <v>6838959.5999999996</v>
      </c>
      <c r="J94" s="46"/>
      <c r="K94" s="27">
        <f>IF(Source!I40&lt;&gt;0, ROUND(I94/Source!I40, 2), 0)</f>
        <v>1392.53</v>
      </c>
      <c r="P94" s="24">
        <f>I94</f>
        <v>6838959.5999999996</v>
      </c>
    </row>
    <row r="95" spans="1:22" ht="28" x14ac:dyDescent="0.35">
      <c r="A95" s="19">
        <v>9</v>
      </c>
      <c r="B95" s="19" t="str">
        <f>Source!F41</f>
        <v>5.3-1102-14-1/1</v>
      </c>
      <c r="C95" s="19" t="str">
        <f>Source!G41</f>
        <v>Погрузка снега средствами малой механизации</v>
      </c>
      <c r="D95" s="20" t="str">
        <f>Source!H41</f>
        <v>м3</v>
      </c>
      <c r="E95" s="8">
        <f>Source!I41</f>
        <v>4911.18</v>
      </c>
      <c r="F95" s="22"/>
      <c r="G95" s="21"/>
      <c r="H95" s="8"/>
      <c r="I95" s="8"/>
      <c r="J95" s="22"/>
      <c r="K95" s="22"/>
      <c r="Q95">
        <f>ROUND((Source!BZ41/100)*ROUND((Source!AF41*Source!AV41)*Source!I41, 2), 2)</f>
        <v>0</v>
      </c>
      <c r="R95">
        <f>Source!X41</f>
        <v>0</v>
      </c>
      <c r="S95">
        <f>ROUND((Source!CA41/100)*ROUND((Source!AF41*Source!AV41)*Source!I41, 2), 2)</f>
        <v>0</v>
      </c>
      <c r="T95">
        <f>Source!Y41</f>
        <v>0</v>
      </c>
      <c r="U95">
        <f>ROUND((175/100)*ROUND((Source!AE41*Source!AV41)*Source!I41, 2), 2)</f>
        <v>795684.82</v>
      </c>
      <c r="V95">
        <f>ROUND((108/100)*ROUND(Source!CS41*Source!I41, 2), 2)</f>
        <v>491051.2</v>
      </c>
    </row>
    <row r="96" spans="1:22" ht="14.5" x14ac:dyDescent="0.35">
      <c r="A96" s="19"/>
      <c r="B96" s="19"/>
      <c r="C96" s="19" t="s">
        <v>239</v>
      </c>
      <c r="D96" s="20"/>
      <c r="E96" s="8"/>
      <c r="F96" s="22">
        <f>Source!AM41</f>
        <v>188.74</v>
      </c>
      <c r="G96" s="21" t="str">
        <f>Source!DE41</f>
        <v/>
      </c>
      <c r="H96" s="8">
        <f>Source!AV41</f>
        <v>1</v>
      </c>
      <c r="I96" s="8">
        <f>IF(Source!BB41&lt;&gt; 0, Source!BB41, 1)</f>
        <v>1</v>
      </c>
      <c r="J96" s="22">
        <f>Source!Q41</f>
        <v>926936.11</v>
      </c>
      <c r="K96" s="22"/>
    </row>
    <row r="97" spans="1:32" ht="14.5" x14ac:dyDescent="0.35">
      <c r="A97" s="19"/>
      <c r="B97" s="19"/>
      <c r="C97" s="19" t="s">
        <v>240</v>
      </c>
      <c r="D97" s="20"/>
      <c r="E97" s="8"/>
      <c r="F97" s="22">
        <f>Source!AN41</f>
        <v>92.58</v>
      </c>
      <c r="G97" s="21" t="str">
        <f>Source!DF41</f>
        <v/>
      </c>
      <c r="H97" s="8">
        <f>Source!AV41</f>
        <v>1</v>
      </c>
      <c r="I97" s="8">
        <f>IF(Source!BS41&lt;&gt; 0, Source!BS41, 1)</f>
        <v>1</v>
      </c>
      <c r="J97" s="23">
        <f>Source!R41</f>
        <v>454677.04</v>
      </c>
      <c r="K97" s="22"/>
    </row>
    <row r="98" spans="1:32" ht="14.5" x14ac:dyDescent="0.35">
      <c r="A98" s="19"/>
      <c r="B98" s="19"/>
      <c r="C98" s="19" t="s">
        <v>241</v>
      </c>
      <c r="D98" s="20" t="s">
        <v>242</v>
      </c>
      <c r="E98" s="8">
        <f>108</f>
        <v>108</v>
      </c>
      <c r="F98" s="22"/>
      <c r="G98" s="21"/>
      <c r="H98" s="8"/>
      <c r="I98" s="8"/>
      <c r="J98" s="22">
        <f>SUM(V95:V97)</f>
        <v>491051.2</v>
      </c>
      <c r="K98" s="22"/>
    </row>
    <row r="99" spans="1:32" ht="14" x14ac:dyDescent="0.3">
      <c r="A99" s="26"/>
      <c r="B99" s="26"/>
      <c r="C99" s="26"/>
      <c r="D99" s="26"/>
      <c r="E99" s="26"/>
      <c r="F99" s="26"/>
      <c r="G99" s="26"/>
      <c r="H99" s="26"/>
      <c r="I99" s="46">
        <f>J96+J98</f>
        <v>1417987.31</v>
      </c>
      <c r="J99" s="46"/>
      <c r="K99" s="27">
        <f>IF(Source!I41&lt;&gt;0, ROUND(I99/Source!I41, 2), 0)</f>
        <v>288.73</v>
      </c>
      <c r="P99" s="24">
        <f>I99</f>
        <v>1417987.31</v>
      </c>
    </row>
    <row r="101" spans="1:32" ht="14" x14ac:dyDescent="0.3">
      <c r="A101" s="41" t="str">
        <f>CONCATENATE("Итого по подразделу: ",IF(Source!G43&lt;&gt;"Новый подраздел", Source!G43, ""))</f>
        <v xml:space="preserve">Итого по подразделу: Подраздел: ЗИМНЯЯ УБОРКА </v>
      </c>
      <c r="B101" s="41"/>
      <c r="C101" s="41"/>
      <c r="D101" s="41"/>
      <c r="E101" s="41"/>
      <c r="F101" s="41"/>
      <c r="G101" s="41"/>
      <c r="H101" s="41"/>
      <c r="I101" s="39">
        <f>SUM(P37:P100)</f>
        <v>14809678.58</v>
      </c>
      <c r="J101" s="40"/>
      <c r="K101" s="30"/>
      <c r="AF101" s="31" t="str">
        <f>CONCATENATE("Итого по подразделу: ",IF(Source!G43&lt;&gt;"Новый подраздел", Source!G43, ""))</f>
        <v xml:space="preserve">Итого по подразделу: Подраздел: ЗИМНЯЯ УБОРКА </v>
      </c>
    </row>
    <row r="104" spans="1:32" ht="16.5" x14ac:dyDescent="0.35">
      <c r="A104" s="45" t="str">
        <f>CONCATENATE("Подраздел: ",IF(Source!G73&lt;&gt;"Новый подраздел", Source!G73, ""))</f>
        <v xml:space="preserve">Подраздел: Подраздел: ЛЕТНЯЯ УБОРКА </v>
      </c>
      <c r="B104" s="45"/>
      <c r="C104" s="45"/>
      <c r="D104" s="45"/>
      <c r="E104" s="45"/>
      <c r="F104" s="45"/>
      <c r="G104" s="45"/>
      <c r="H104" s="45"/>
      <c r="I104" s="45"/>
      <c r="J104" s="45"/>
      <c r="K104" s="45"/>
    </row>
    <row r="105" spans="1:32" ht="42" x14ac:dyDescent="0.35">
      <c r="A105" s="19">
        <v>10</v>
      </c>
      <c r="B105" s="19" t="str">
        <f>Source!F77</f>
        <v>5.3-1101-15-1/1</v>
      </c>
      <c r="C105" s="19" t="str">
        <f>Source!G77</f>
        <v>Подметание тротуаров, придомовых и внутрибольничных проездов средствами малой механизации</v>
      </c>
      <c r="D105" s="20" t="str">
        <f>Source!H77</f>
        <v>1000 м2</v>
      </c>
      <c r="E105" s="8">
        <f>Source!I77</f>
        <v>43.654879999999999</v>
      </c>
      <c r="F105" s="22"/>
      <c r="G105" s="21"/>
      <c r="H105" s="8"/>
      <c r="I105" s="8"/>
      <c r="J105" s="22"/>
      <c r="K105" s="22"/>
      <c r="Q105">
        <f>ROUND((Source!BZ77/100)*ROUND((Source!AF77*Source!AV77)*Source!I77, 2), 2)</f>
        <v>0</v>
      </c>
      <c r="R105">
        <f>Source!X77</f>
        <v>0</v>
      </c>
      <c r="S105">
        <f>ROUND((Source!CA77/100)*ROUND((Source!AF77*Source!AV77)*Source!I77, 2), 2)</f>
        <v>0</v>
      </c>
      <c r="T105">
        <f>Source!Y77</f>
        <v>0</v>
      </c>
      <c r="U105">
        <f>ROUND((175/100)*ROUND((Source!AE77*Source!AV77)*Source!I77, 2), 2)</f>
        <v>954304.96</v>
      </c>
      <c r="V105">
        <f>ROUND((108/100)*ROUND(Source!CS77*Source!I77, 2), 2)</f>
        <v>588942.49</v>
      </c>
    </row>
    <row r="106" spans="1:32" ht="14.5" x14ac:dyDescent="0.35">
      <c r="A106" s="19"/>
      <c r="B106" s="19"/>
      <c r="C106" s="19" t="s">
        <v>239</v>
      </c>
      <c r="D106" s="20"/>
      <c r="E106" s="8"/>
      <c r="F106" s="22">
        <f>Source!AM77</f>
        <v>463.65</v>
      </c>
      <c r="G106" s="21" t="str">
        <f>Source!DE77</f>
        <v>)*57</v>
      </c>
      <c r="H106" s="8">
        <f>Source!AV77</f>
        <v>1</v>
      </c>
      <c r="I106" s="8">
        <f>IF(Source!BB77&lt;&gt; 0, Source!BB77, 1)</f>
        <v>1</v>
      </c>
      <c r="J106" s="22">
        <f>Source!Q77</f>
        <v>1153713.3500000001</v>
      </c>
      <c r="K106" s="22"/>
    </row>
    <row r="107" spans="1:32" ht="14.5" x14ac:dyDescent="0.35">
      <c r="A107" s="19"/>
      <c r="B107" s="19"/>
      <c r="C107" s="19" t="s">
        <v>240</v>
      </c>
      <c r="D107" s="20"/>
      <c r="E107" s="8"/>
      <c r="F107" s="22">
        <f>Source!AN77</f>
        <v>219.15</v>
      </c>
      <c r="G107" s="21" t="str">
        <f>Source!DF77</f>
        <v>)*57</v>
      </c>
      <c r="H107" s="8">
        <f>Source!AV77</f>
        <v>1</v>
      </c>
      <c r="I107" s="8">
        <f>IF(Source!BS77&lt;&gt; 0, Source!BS77, 1)</f>
        <v>1</v>
      </c>
      <c r="J107" s="23">
        <f>Source!R77</f>
        <v>545317.12</v>
      </c>
      <c r="K107" s="22"/>
    </row>
    <row r="108" spans="1:32" ht="14.5" x14ac:dyDescent="0.35">
      <c r="A108" s="19"/>
      <c r="B108" s="19"/>
      <c r="C108" s="19" t="s">
        <v>248</v>
      </c>
      <c r="D108" s="20"/>
      <c r="E108" s="8"/>
      <c r="F108" s="22">
        <f>Source!AL77</f>
        <v>10.96</v>
      </c>
      <c r="G108" s="21" t="str">
        <f>Source!DD77</f>
        <v>)*57</v>
      </c>
      <c r="H108" s="8">
        <f>Source!AW77</f>
        <v>1</v>
      </c>
      <c r="I108" s="8">
        <f>IF(Source!BC77&lt;&gt; 0, Source!BC77, 1)</f>
        <v>1</v>
      </c>
      <c r="J108" s="22">
        <f>Source!P77</f>
        <v>27272.080000000002</v>
      </c>
      <c r="K108" s="22"/>
    </row>
    <row r="109" spans="1:32" ht="14.5" x14ac:dyDescent="0.35">
      <c r="A109" s="19" t="s">
        <v>123</v>
      </c>
      <c r="B109" s="19" t="str">
        <f>Source!F78</f>
        <v>21.1-25-13</v>
      </c>
      <c r="C109" s="19" t="str">
        <f>Source!G78</f>
        <v>Вода</v>
      </c>
      <c r="D109" s="20" t="str">
        <f>Source!H78</f>
        <v>м3</v>
      </c>
      <c r="E109" s="8">
        <f>Source!I78</f>
        <v>-497.66563200000002</v>
      </c>
      <c r="F109" s="22">
        <f>Source!AK78</f>
        <v>54.81</v>
      </c>
      <c r="G109" s="29" t="s">
        <v>250</v>
      </c>
      <c r="H109" s="8">
        <f>Source!AW78</f>
        <v>1</v>
      </c>
      <c r="I109" s="8">
        <f>IF(Source!BC78&lt;&gt; 0, Source!BC78, 1)</f>
        <v>1</v>
      </c>
      <c r="J109" s="22">
        <f>Source!O78</f>
        <v>-27277.05</v>
      </c>
      <c r="K109" s="22"/>
      <c r="Q109">
        <f>ROUND((Source!BZ78/100)*ROUND((Source!AF78*Source!AV78)*Source!I78, 2), 2)</f>
        <v>0</v>
      </c>
      <c r="R109">
        <f>Source!X78</f>
        <v>0</v>
      </c>
      <c r="S109">
        <f>ROUND((Source!CA78/100)*ROUND((Source!AF78*Source!AV78)*Source!I78, 2), 2)</f>
        <v>0</v>
      </c>
      <c r="T109">
        <f>Source!Y78</f>
        <v>0</v>
      </c>
      <c r="U109">
        <f>ROUND((175/100)*ROUND((Source!AE78*Source!AV78)*Source!I78, 2), 2)</f>
        <v>0</v>
      </c>
      <c r="V109">
        <f>ROUND((108/100)*ROUND(Source!CS78*Source!I78, 2), 2)</f>
        <v>0</v>
      </c>
    </row>
    <row r="110" spans="1:32" ht="14.5" x14ac:dyDescent="0.35">
      <c r="A110" s="19"/>
      <c r="B110" s="19"/>
      <c r="C110" s="19" t="s">
        <v>241</v>
      </c>
      <c r="D110" s="20" t="s">
        <v>242</v>
      </c>
      <c r="E110" s="8">
        <f>108</f>
        <v>108</v>
      </c>
      <c r="F110" s="22"/>
      <c r="G110" s="21"/>
      <c r="H110" s="8"/>
      <c r="I110" s="8"/>
      <c r="J110" s="22">
        <f>SUM(V105:V109)</f>
        <v>588942.49</v>
      </c>
      <c r="K110" s="22"/>
    </row>
    <row r="111" spans="1:32" ht="14" x14ac:dyDescent="0.3">
      <c r="A111" s="26"/>
      <c r="B111" s="26"/>
      <c r="C111" s="26"/>
      <c r="D111" s="26"/>
      <c r="E111" s="26"/>
      <c r="F111" s="26"/>
      <c r="G111" s="26"/>
      <c r="H111" s="26"/>
      <c r="I111" s="46">
        <f>J106+J108+J110+SUM(J109:J109)</f>
        <v>1742650.87</v>
      </c>
      <c r="J111" s="46"/>
      <c r="K111" s="27">
        <f>IF(Source!I77&lt;&gt;0, ROUND(I111/Source!I77, 2), 0)</f>
        <v>39918.81</v>
      </c>
      <c r="P111" s="24">
        <f>I111</f>
        <v>1742650.87</v>
      </c>
    </row>
    <row r="112" spans="1:32" ht="28" x14ac:dyDescent="0.35">
      <c r="A112" s="19">
        <v>11</v>
      </c>
      <c r="B112" s="19" t="str">
        <f>Source!F79</f>
        <v>5.3-1101-13-1/1</v>
      </c>
      <c r="C112" s="19" t="str">
        <f>Source!G79</f>
        <v>Подметание вручную дорожек и площадок с твердым покрытием</v>
      </c>
      <c r="D112" s="20" t="str">
        <f>Source!H79</f>
        <v>100 м2</v>
      </c>
      <c r="E112" s="8">
        <f>Source!I79</f>
        <v>109.13720000000001</v>
      </c>
      <c r="F112" s="22"/>
      <c r="G112" s="21"/>
      <c r="H112" s="8"/>
      <c r="I112" s="8"/>
      <c r="J112" s="22"/>
      <c r="K112" s="22"/>
      <c r="Q112">
        <f>ROUND((Source!BZ79/100)*ROUND((Source!AF79*Source!AV79)*Source!I79, 2), 2)</f>
        <v>276254.2</v>
      </c>
      <c r="R112">
        <f>Source!X79</f>
        <v>276254.2</v>
      </c>
      <c r="S112">
        <f>ROUND((Source!CA79/100)*ROUND((Source!AF79*Source!AV79)*Source!I79, 2), 2)</f>
        <v>39464.89</v>
      </c>
      <c r="T112">
        <f>Source!Y79</f>
        <v>39464.89</v>
      </c>
      <c r="U112">
        <f>ROUND((175/100)*ROUND((Source!AE79*Source!AV79)*Source!I79, 2), 2)</f>
        <v>0</v>
      </c>
      <c r="V112">
        <f>ROUND((108/100)*ROUND(Source!CS79*Source!I79, 2), 2)</f>
        <v>0</v>
      </c>
    </row>
    <row r="113" spans="1:22" ht="14.5" x14ac:dyDescent="0.35">
      <c r="A113" s="19"/>
      <c r="B113" s="19"/>
      <c r="C113" s="19" t="s">
        <v>243</v>
      </c>
      <c r="D113" s="20"/>
      <c r="E113" s="8"/>
      <c r="F113" s="22">
        <f>Source!AO79</f>
        <v>63.44</v>
      </c>
      <c r="G113" s="21" t="str">
        <f>Source!DG79</f>
        <v>)*57</v>
      </c>
      <c r="H113" s="8">
        <f>Source!AV79</f>
        <v>1</v>
      </c>
      <c r="I113" s="8">
        <f>IF(Source!BA79&lt;&gt; 0, Source!BA79, 1)</f>
        <v>1</v>
      </c>
      <c r="J113" s="22">
        <f>Source!S79</f>
        <v>394648.85</v>
      </c>
      <c r="K113" s="22"/>
    </row>
    <row r="114" spans="1:22" ht="14.5" x14ac:dyDescent="0.35">
      <c r="A114" s="19"/>
      <c r="B114" s="19"/>
      <c r="C114" s="19" t="s">
        <v>244</v>
      </c>
      <c r="D114" s="20" t="s">
        <v>242</v>
      </c>
      <c r="E114" s="8">
        <f>Source!AT79</f>
        <v>70</v>
      </c>
      <c r="F114" s="22"/>
      <c r="G114" s="21"/>
      <c r="H114" s="8"/>
      <c r="I114" s="8"/>
      <c r="J114" s="22">
        <f>SUM(R112:R113)</f>
        <v>276254.2</v>
      </c>
      <c r="K114" s="22"/>
    </row>
    <row r="115" spans="1:22" ht="14.5" x14ac:dyDescent="0.35">
      <c r="A115" s="19"/>
      <c r="B115" s="19"/>
      <c r="C115" s="19" t="s">
        <v>245</v>
      </c>
      <c r="D115" s="20" t="s">
        <v>242</v>
      </c>
      <c r="E115" s="8">
        <f>Source!AU79</f>
        <v>10</v>
      </c>
      <c r="F115" s="22"/>
      <c r="G115" s="21"/>
      <c r="H115" s="8"/>
      <c r="I115" s="8"/>
      <c r="J115" s="22">
        <f>SUM(T112:T114)</f>
        <v>39464.89</v>
      </c>
      <c r="K115" s="22"/>
    </row>
    <row r="116" spans="1:22" ht="14.5" x14ac:dyDescent="0.35">
      <c r="A116" s="19"/>
      <c r="B116" s="19"/>
      <c r="C116" s="19" t="s">
        <v>246</v>
      </c>
      <c r="D116" s="20" t="s">
        <v>247</v>
      </c>
      <c r="E116" s="8">
        <f>Source!AQ79</f>
        <v>0.14000000000000001</v>
      </c>
      <c r="F116" s="22"/>
      <c r="G116" s="21" t="str">
        <f>Source!DI79</f>
        <v>)*57</v>
      </c>
      <c r="H116" s="8">
        <f>Source!AV79</f>
        <v>1</v>
      </c>
      <c r="I116" s="8"/>
      <c r="J116" s="22"/>
      <c r="K116" s="22">
        <f>Source!U79</f>
        <v>870.9148560000001</v>
      </c>
    </row>
    <row r="117" spans="1:22" ht="14" x14ac:dyDescent="0.3">
      <c r="A117" s="26"/>
      <c r="B117" s="26"/>
      <c r="C117" s="26"/>
      <c r="D117" s="26"/>
      <c r="E117" s="26"/>
      <c r="F117" s="26"/>
      <c r="G117" s="26"/>
      <c r="H117" s="26"/>
      <c r="I117" s="46">
        <f>J113+J114+J115</f>
        <v>710367.94000000006</v>
      </c>
      <c r="J117" s="46"/>
      <c r="K117" s="27">
        <f>IF(Source!I79&lt;&gt;0, ROUND(I117/Source!I79, 2), 0)</f>
        <v>6508.94</v>
      </c>
      <c r="P117" s="24">
        <f>I117</f>
        <v>710367.94000000006</v>
      </c>
    </row>
    <row r="118" spans="1:22" ht="42" x14ac:dyDescent="0.35">
      <c r="A118" s="19">
        <v>12</v>
      </c>
      <c r="B118" s="19" t="str">
        <f>Source!F80</f>
        <v>5.3-1101-15-4/1</v>
      </c>
      <c r="C118" s="19" t="str">
        <f>Source!G80</f>
        <v>Полив тротуаров, придомовых и внутрибольничных проездов средствами малой механизации</v>
      </c>
      <c r="D118" s="20" t="str">
        <f>Source!H80</f>
        <v>1000 м2</v>
      </c>
      <c r="E118" s="8">
        <f>Source!I80</f>
        <v>54.568600000000004</v>
      </c>
      <c r="F118" s="22"/>
      <c r="G118" s="21"/>
      <c r="H118" s="8"/>
      <c r="I118" s="8"/>
      <c r="J118" s="22"/>
      <c r="K118" s="22"/>
      <c r="Q118">
        <f>ROUND((Source!BZ80/100)*ROUND((Source!AF80*Source!AV80)*Source!I80, 2), 2)</f>
        <v>0</v>
      </c>
      <c r="R118">
        <f>Source!X80</f>
        <v>0</v>
      </c>
      <c r="S118">
        <f>ROUND((Source!CA80/100)*ROUND((Source!AF80*Source!AV80)*Source!I80, 2), 2)</f>
        <v>0</v>
      </c>
      <c r="T118">
        <f>Source!Y80</f>
        <v>0</v>
      </c>
      <c r="U118">
        <f>ROUND((175/100)*ROUND((Source!AE80*Source!AV80)*Source!I80, 2), 2)</f>
        <v>338062.03</v>
      </c>
      <c r="V118">
        <f>ROUND((108/100)*ROUND(Source!CS80*Source!I80, 2), 2)</f>
        <v>208632.56</v>
      </c>
    </row>
    <row r="119" spans="1:22" ht="14.5" x14ac:dyDescent="0.35">
      <c r="A119" s="19"/>
      <c r="B119" s="19"/>
      <c r="C119" s="19" t="s">
        <v>239</v>
      </c>
      <c r="D119" s="20"/>
      <c r="E119" s="8"/>
      <c r="F119" s="22">
        <f>Source!AM80</f>
        <v>748.98</v>
      </c>
      <c r="G119" s="21" t="str">
        <f>Source!DE80</f>
        <v>)*10</v>
      </c>
      <c r="H119" s="8">
        <f>Source!AV80</f>
        <v>1</v>
      </c>
      <c r="I119" s="8">
        <f>IF(Source!BB80&lt;&gt; 0, Source!BB80, 1)</f>
        <v>1</v>
      </c>
      <c r="J119" s="22">
        <f>Source!Q80</f>
        <v>408707.9</v>
      </c>
      <c r="K119" s="22"/>
    </row>
    <row r="120" spans="1:22" ht="14.5" x14ac:dyDescent="0.35">
      <c r="A120" s="19"/>
      <c r="B120" s="19"/>
      <c r="C120" s="19" t="s">
        <v>240</v>
      </c>
      <c r="D120" s="20"/>
      <c r="E120" s="8"/>
      <c r="F120" s="22">
        <f>Source!AN80</f>
        <v>354.01</v>
      </c>
      <c r="G120" s="21" t="str">
        <f>Source!DF80</f>
        <v>)*10</v>
      </c>
      <c r="H120" s="8">
        <f>Source!AV80</f>
        <v>1</v>
      </c>
      <c r="I120" s="8">
        <f>IF(Source!BS80&lt;&gt; 0, Source!BS80, 1)</f>
        <v>1</v>
      </c>
      <c r="J120" s="23">
        <f>Source!R80</f>
        <v>193178.3</v>
      </c>
      <c r="K120" s="22"/>
    </row>
    <row r="121" spans="1:22" ht="14.5" x14ac:dyDescent="0.35">
      <c r="A121" s="19"/>
      <c r="B121" s="19"/>
      <c r="C121" s="19" t="s">
        <v>248</v>
      </c>
      <c r="D121" s="20"/>
      <c r="E121" s="8"/>
      <c r="F121" s="22">
        <f>Source!AL80</f>
        <v>19.18</v>
      </c>
      <c r="G121" s="21" t="str">
        <f>Source!DD80</f>
        <v>)*10</v>
      </c>
      <c r="H121" s="8">
        <f>Source!AW80</f>
        <v>1</v>
      </c>
      <c r="I121" s="8">
        <f>IF(Source!BC80&lt;&gt; 0, Source!BC80, 1)</f>
        <v>1</v>
      </c>
      <c r="J121" s="22">
        <f>Source!P80</f>
        <v>10466.26</v>
      </c>
      <c r="K121" s="22"/>
    </row>
    <row r="122" spans="1:22" ht="14.5" x14ac:dyDescent="0.35">
      <c r="A122" s="19"/>
      <c r="B122" s="19"/>
      <c r="C122" s="19" t="s">
        <v>241</v>
      </c>
      <c r="D122" s="20" t="s">
        <v>242</v>
      </c>
      <c r="E122" s="8">
        <f>108</f>
        <v>108</v>
      </c>
      <c r="F122" s="22"/>
      <c r="G122" s="21"/>
      <c r="H122" s="8"/>
      <c r="I122" s="8"/>
      <c r="J122" s="22">
        <f>SUM(V118:V121)</f>
        <v>208632.56</v>
      </c>
      <c r="K122" s="22"/>
    </row>
    <row r="123" spans="1:22" ht="14" x14ac:dyDescent="0.3">
      <c r="A123" s="26"/>
      <c r="B123" s="26"/>
      <c r="C123" s="26"/>
      <c r="D123" s="26"/>
      <c r="E123" s="26"/>
      <c r="F123" s="26"/>
      <c r="G123" s="26"/>
      <c r="H123" s="26"/>
      <c r="I123" s="46">
        <f>J119+J121+J122</f>
        <v>627806.71999999997</v>
      </c>
      <c r="J123" s="46"/>
      <c r="K123" s="27">
        <f>IF(Source!I80&lt;&gt;0, ROUND(I123/Source!I80, 2), 0)</f>
        <v>11504.91</v>
      </c>
      <c r="P123" s="24">
        <f>I123</f>
        <v>627806.71999999997</v>
      </c>
    </row>
    <row r="125" spans="1:22" ht="14" x14ac:dyDescent="0.3">
      <c r="A125" s="41" t="str">
        <f>CONCATENATE("Итого по подразделу: ",IF(Source!G83&lt;&gt;"Новый подраздел", Source!G83, ""))</f>
        <v xml:space="preserve">Итого по подразделу: Подраздел: ЛЕТНЯЯ УБОРКА </v>
      </c>
      <c r="B125" s="41"/>
      <c r="C125" s="41"/>
      <c r="D125" s="41"/>
      <c r="E125" s="41"/>
      <c r="F125" s="41"/>
      <c r="G125" s="41"/>
      <c r="H125" s="41"/>
      <c r="I125" s="39">
        <f>SUM(P104:P124)</f>
        <v>3080825.5300000003</v>
      </c>
      <c r="J125" s="40"/>
      <c r="K125" s="30"/>
    </row>
    <row r="128" spans="1:22" ht="16.5" x14ac:dyDescent="0.35">
      <c r="A128" s="45" t="str">
        <f>CONCATENATE("Подраздел: ",IF(Source!G113&lt;&gt;"Новый подраздел", Source!G113, ""))</f>
        <v xml:space="preserve">Подраздел: Подраздел: УХОД ЗА ЗЕЛЕНЫМИ НАСАЖДЕНИЯМИ </v>
      </c>
      <c r="B128" s="45"/>
      <c r="C128" s="45"/>
      <c r="D128" s="45"/>
      <c r="E128" s="45"/>
      <c r="F128" s="45"/>
      <c r="G128" s="45"/>
      <c r="H128" s="45"/>
      <c r="I128" s="45"/>
      <c r="J128" s="45"/>
      <c r="K128" s="45"/>
    </row>
    <row r="129" spans="1:22" ht="28" x14ac:dyDescent="0.35">
      <c r="A129" s="19">
        <v>13</v>
      </c>
      <c r="B129" s="19" t="str">
        <f>Source!F120</f>
        <v>5.4-1201-1-1/1</v>
      </c>
      <c r="C129" s="19" t="str">
        <f>Source!G120</f>
        <v>Сбор случайного мусора по территории</v>
      </c>
      <c r="D129" s="20" t="str">
        <f>Source!H120</f>
        <v>100 м2</v>
      </c>
      <c r="E129" s="8">
        <f>Source!I120</f>
        <v>45.332799999999999</v>
      </c>
      <c r="F129" s="22"/>
      <c r="G129" s="21"/>
      <c r="H129" s="8"/>
      <c r="I129" s="8"/>
      <c r="J129" s="22"/>
      <c r="K129" s="22"/>
      <c r="Q129">
        <f>ROUND((Source!BZ120/100)*ROUND((Source!AF120*Source!AV120)*Source!I120, 2), 2)</f>
        <v>143094.71</v>
      </c>
      <c r="R129">
        <f>Source!X120</f>
        <v>143094.71</v>
      </c>
      <c r="S129">
        <f>ROUND((Source!CA120/100)*ROUND((Source!AF120*Source!AV120)*Source!I120, 2), 2)</f>
        <v>20442.099999999999</v>
      </c>
      <c r="T129">
        <f>Source!Y120</f>
        <v>20442.099999999999</v>
      </c>
      <c r="U129">
        <f>ROUND((175/100)*ROUND((Source!AE120*Source!AV120)*Source!I120, 2), 2)</f>
        <v>0</v>
      </c>
      <c r="V129">
        <f>ROUND((108/100)*ROUND(Source!CS120*Source!I120, 2), 2)</f>
        <v>0</v>
      </c>
    </row>
    <row r="130" spans="1:22" ht="14.5" x14ac:dyDescent="0.35">
      <c r="A130" s="19"/>
      <c r="B130" s="19"/>
      <c r="C130" s="19" t="s">
        <v>243</v>
      </c>
      <c r="D130" s="20"/>
      <c r="E130" s="8"/>
      <c r="F130" s="22">
        <f>Source!AO120</f>
        <v>22.66</v>
      </c>
      <c r="G130" s="21" t="str">
        <f>Source!DG120</f>
        <v>)*199</v>
      </c>
      <c r="H130" s="8">
        <f>Source!AV120</f>
        <v>1</v>
      </c>
      <c r="I130" s="8">
        <f>IF(Source!BA120&lt;&gt; 0, Source!BA120, 1)</f>
        <v>1</v>
      </c>
      <c r="J130" s="22">
        <f>Source!S120</f>
        <v>204421.01</v>
      </c>
      <c r="K130" s="22"/>
    </row>
    <row r="131" spans="1:22" ht="14.5" x14ac:dyDescent="0.35">
      <c r="A131" s="19"/>
      <c r="B131" s="19"/>
      <c r="C131" s="19" t="s">
        <v>248</v>
      </c>
      <c r="D131" s="20"/>
      <c r="E131" s="8"/>
      <c r="F131" s="22">
        <f>Source!AL120</f>
        <v>0.91</v>
      </c>
      <c r="G131" s="21" t="str">
        <f>Source!DD120</f>
        <v>)*199</v>
      </c>
      <c r="H131" s="8">
        <f>Source!AW120</f>
        <v>1</v>
      </c>
      <c r="I131" s="8">
        <f>IF(Source!BC120&lt;&gt; 0, Source!BC120, 1)</f>
        <v>1</v>
      </c>
      <c r="J131" s="22">
        <f>Source!P120</f>
        <v>8209.32</v>
      </c>
      <c r="K131" s="22"/>
    </row>
    <row r="132" spans="1:22" ht="14.5" x14ac:dyDescent="0.35">
      <c r="A132" s="19"/>
      <c r="B132" s="19"/>
      <c r="C132" s="19" t="s">
        <v>244</v>
      </c>
      <c r="D132" s="20" t="s">
        <v>242</v>
      </c>
      <c r="E132" s="8">
        <f>Source!AT120</f>
        <v>70</v>
      </c>
      <c r="F132" s="22"/>
      <c r="G132" s="21"/>
      <c r="H132" s="8"/>
      <c r="I132" s="8"/>
      <c r="J132" s="22">
        <f>SUM(R129:R131)</f>
        <v>143094.71</v>
      </c>
      <c r="K132" s="22"/>
    </row>
    <row r="133" spans="1:22" ht="14.5" x14ac:dyDescent="0.35">
      <c r="A133" s="19"/>
      <c r="B133" s="19"/>
      <c r="C133" s="19" t="s">
        <v>245</v>
      </c>
      <c r="D133" s="20" t="s">
        <v>242</v>
      </c>
      <c r="E133" s="8">
        <f>Source!AU120</f>
        <v>10</v>
      </c>
      <c r="F133" s="22"/>
      <c r="G133" s="21"/>
      <c r="H133" s="8"/>
      <c r="I133" s="8"/>
      <c r="J133" s="22">
        <f>SUM(T129:T132)</f>
        <v>20442.099999999999</v>
      </c>
      <c r="K133" s="22"/>
    </row>
    <row r="134" spans="1:22" ht="14.5" x14ac:dyDescent="0.35">
      <c r="A134" s="19"/>
      <c r="B134" s="19"/>
      <c r="C134" s="19" t="s">
        <v>246</v>
      </c>
      <c r="D134" s="20" t="s">
        <v>247</v>
      </c>
      <c r="E134" s="8">
        <f>Source!AQ120</f>
        <v>0.05</v>
      </c>
      <c r="F134" s="22"/>
      <c r="G134" s="21" t="str">
        <f>Source!DI120</f>
        <v>)*199</v>
      </c>
      <c r="H134" s="8">
        <f>Source!AV120</f>
        <v>1</v>
      </c>
      <c r="I134" s="8"/>
      <c r="J134" s="22"/>
      <c r="K134" s="22">
        <f>Source!U120</f>
        <v>451.06136000000004</v>
      </c>
    </row>
    <row r="135" spans="1:22" ht="14" x14ac:dyDescent="0.3">
      <c r="A135" s="26"/>
      <c r="B135" s="26"/>
      <c r="C135" s="26"/>
      <c r="D135" s="26"/>
      <c r="E135" s="26"/>
      <c r="F135" s="26"/>
      <c r="G135" s="26"/>
      <c r="H135" s="26"/>
      <c r="I135" s="46">
        <f>J130+J131+J132+J133</f>
        <v>376167.14</v>
      </c>
      <c r="J135" s="46"/>
      <c r="K135" s="27">
        <f>IF(Source!I120&lt;&gt;0, ROUND(I135/Source!I120, 2), 0)</f>
        <v>8297.9</v>
      </c>
      <c r="P135" s="24">
        <f>I135</f>
        <v>376167.14</v>
      </c>
    </row>
    <row r="136" spans="1:22" ht="28" x14ac:dyDescent="0.35">
      <c r="A136" s="19">
        <v>14</v>
      </c>
      <c r="B136" s="19" t="str">
        <f>Source!F121</f>
        <v>5.4-3201-7-2/1</v>
      </c>
      <c r="C136" s="19" t="str">
        <f>Source!G121</f>
        <v>Выкашивание газонов газонокосилкой</v>
      </c>
      <c r="D136" s="20" t="str">
        <f>Source!H121</f>
        <v>100 м2</v>
      </c>
      <c r="E136" s="8">
        <f>Source!I121</f>
        <v>226.66399999999999</v>
      </c>
      <c r="F136" s="22"/>
      <c r="G136" s="21"/>
      <c r="H136" s="8"/>
      <c r="I136" s="8"/>
      <c r="J136" s="22"/>
      <c r="K136" s="22"/>
      <c r="Q136">
        <f>ROUND((Source!BZ121/100)*ROUND((Source!AF121*Source!AV121)*Source!I121, 2), 2)</f>
        <v>712944.41</v>
      </c>
      <c r="R136">
        <f>Source!X121</f>
        <v>712944.41</v>
      </c>
      <c r="S136">
        <f>ROUND((Source!CA121/100)*ROUND((Source!AF121*Source!AV121)*Source!I121, 2), 2)</f>
        <v>101849.2</v>
      </c>
      <c r="T136">
        <f>Source!Y121</f>
        <v>101849.2</v>
      </c>
      <c r="U136">
        <f>ROUND((175/100)*ROUND((Source!AE121*Source!AV121)*Source!I121, 2), 2)</f>
        <v>9757.8799999999992</v>
      </c>
      <c r="V136">
        <f>ROUND((108/100)*ROUND(Source!CS121*Source!I121, 2), 2)</f>
        <v>6022</v>
      </c>
    </row>
    <row r="137" spans="1:22" ht="14.5" x14ac:dyDescent="0.35">
      <c r="A137" s="19"/>
      <c r="B137" s="19"/>
      <c r="C137" s="19" t="s">
        <v>243</v>
      </c>
      <c r="D137" s="20"/>
      <c r="E137" s="8"/>
      <c r="F137" s="22">
        <f>Source!AO121</f>
        <v>449.34</v>
      </c>
      <c r="G137" s="21" t="str">
        <f>Source!DG121</f>
        <v>)*10</v>
      </c>
      <c r="H137" s="8">
        <f>Source!AV121</f>
        <v>1</v>
      </c>
      <c r="I137" s="8">
        <f>IF(Source!BA121&lt;&gt; 0, Source!BA121, 1)</f>
        <v>1</v>
      </c>
      <c r="J137" s="22">
        <f>Source!S121</f>
        <v>1018492.02</v>
      </c>
      <c r="K137" s="22"/>
    </row>
    <row r="138" spans="1:22" ht="14.5" x14ac:dyDescent="0.35">
      <c r="A138" s="19"/>
      <c r="B138" s="19"/>
      <c r="C138" s="19" t="s">
        <v>239</v>
      </c>
      <c r="D138" s="20"/>
      <c r="E138" s="8"/>
      <c r="F138" s="22">
        <f>Source!AM121</f>
        <v>24.44</v>
      </c>
      <c r="G138" s="21" t="str">
        <f>Source!DE121</f>
        <v>)*10</v>
      </c>
      <c r="H138" s="8">
        <f>Source!AV121</f>
        <v>1</v>
      </c>
      <c r="I138" s="8">
        <f>IF(Source!BB121&lt;&gt; 0, Source!BB121, 1)</f>
        <v>1</v>
      </c>
      <c r="J138" s="22">
        <f>Source!Q121</f>
        <v>55396.68</v>
      </c>
      <c r="K138" s="22"/>
    </row>
    <row r="139" spans="1:22" ht="14.5" x14ac:dyDescent="0.35">
      <c r="A139" s="19"/>
      <c r="B139" s="19"/>
      <c r="C139" s="19" t="s">
        <v>240</v>
      </c>
      <c r="D139" s="20"/>
      <c r="E139" s="8"/>
      <c r="F139" s="22">
        <f>Source!AN121</f>
        <v>2.46</v>
      </c>
      <c r="G139" s="21" t="str">
        <f>Source!DF121</f>
        <v>)*10</v>
      </c>
      <c r="H139" s="8">
        <f>Source!AV121</f>
        <v>1</v>
      </c>
      <c r="I139" s="8">
        <f>IF(Source!BS121&lt;&gt; 0, Source!BS121, 1)</f>
        <v>1</v>
      </c>
      <c r="J139" s="23">
        <f>Source!R121</f>
        <v>5575.93</v>
      </c>
      <c r="K139" s="22"/>
    </row>
    <row r="140" spans="1:22" ht="14.5" x14ac:dyDescent="0.35">
      <c r="A140" s="19"/>
      <c r="B140" s="19"/>
      <c r="C140" s="19" t="s">
        <v>244</v>
      </c>
      <c r="D140" s="20" t="s">
        <v>242</v>
      </c>
      <c r="E140" s="8">
        <f>Source!AT121</f>
        <v>70</v>
      </c>
      <c r="F140" s="22"/>
      <c r="G140" s="21"/>
      <c r="H140" s="8"/>
      <c r="I140" s="8"/>
      <c r="J140" s="22">
        <f>SUM(R136:R139)</f>
        <v>712944.41</v>
      </c>
      <c r="K140" s="22"/>
    </row>
    <row r="141" spans="1:22" ht="14.5" x14ac:dyDescent="0.35">
      <c r="A141" s="19"/>
      <c r="B141" s="19"/>
      <c r="C141" s="19" t="s">
        <v>245</v>
      </c>
      <c r="D141" s="20" t="s">
        <v>242</v>
      </c>
      <c r="E141" s="8">
        <f>Source!AU121</f>
        <v>10</v>
      </c>
      <c r="F141" s="22"/>
      <c r="G141" s="21"/>
      <c r="H141" s="8"/>
      <c r="I141" s="8"/>
      <c r="J141" s="22">
        <f>SUM(T136:T140)</f>
        <v>101849.2</v>
      </c>
      <c r="K141" s="22"/>
    </row>
    <row r="142" spans="1:22" ht="14.5" x14ac:dyDescent="0.35">
      <c r="A142" s="19"/>
      <c r="B142" s="19"/>
      <c r="C142" s="19" t="s">
        <v>241</v>
      </c>
      <c r="D142" s="20" t="s">
        <v>242</v>
      </c>
      <c r="E142" s="8">
        <f>108</f>
        <v>108</v>
      </c>
      <c r="F142" s="22"/>
      <c r="G142" s="21"/>
      <c r="H142" s="8"/>
      <c r="I142" s="8"/>
      <c r="J142" s="22">
        <f>SUM(V136:V141)</f>
        <v>6022</v>
      </c>
      <c r="K142" s="22"/>
    </row>
    <row r="143" spans="1:22" ht="14.5" x14ac:dyDescent="0.35">
      <c r="A143" s="19"/>
      <c r="B143" s="19"/>
      <c r="C143" s="19" t="s">
        <v>246</v>
      </c>
      <c r="D143" s="20" t="s">
        <v>247</v>
      </c>
      <c r="E143" s="8">
        <f>Source!AQ121</f>
        <v>0.98</v>
      </c>
      <c r="F143" s="22"/>
      <c r="G143" s="21" t="str">
        <f>Source!DI121</f>
        <v>)*10</v>
      </c>
      <c r="H143" s="8">
        <f>Source!AV121</f>
        <v>1</v>
      </c>
      <c r="I143" s="8"/>
      <c r="J143" s="22"/>
      <c r="K143" s="22">
        <f>Source!U121</f>
        <v>2221.3072000000002</v>
      </c>
    </row>
    <row r="144" spans="1:22" ht="14" x14ac:dyDescent="0.3">
      <c r="A144" s="26"/>
      <c r="B144" s="26"/>
      <c r="C144" s="26"/>
      <c r="D144" s="26"/>
      <c r="E144" s="26"/>
      <c r="F144" s="26"/>
      <c r="G144" s="26"/>
      <c r="H144" s="26"/>
      <c r="I144" s="46">
        <f>J137+J138+J140+J141+J142</f>
        <v>1894704.3099999998</v>
      </c>
      <c r="J144" s="46"/>
      <c r="K144" s="27">
        <f>IF(Source!I121&lt;&gt;0, ROUND(I144/Source!I121, 2), 0)</f>
        <v>8359.09</v>
      </c>
      <c r="P144" s="24">
        <f>I144</f>
        <v>1894704.3099999998</v>
      </c>
    </row>
    <row r="146" spans="1:11" ht="14" x14ac:dyDescent="0.3">
      <c r="A146" s="41" t="str">
        <f>CONCATENATE("Итого по подразделу: ",IF(Source!G127&lt;&gt;"Новый подраздел", Source!G127, ""))</f>
        <v xml:space="preserve">Итого по подразделу: Подраздел: УХОД ЗА ЗЕЛЕНЫМИ НАСАЖДЕНИЯМИ </v>
      </c>
      <c r="B146" s="41"/>
      <c r="C146" s="41"/>
      <c r="D146" s="41"/>
      <c r="E146" s="41"/>
      <c r="F146" s="41"/>
      <c r="G146" s="41"/>
      <c r="H146" s="41"/>
      <c r="I146" s="39">
        <f>SUM(P128:P145)</f>
        <v>2270871.4499999997</v>
      </c>
      <c r="J146" s="40"/>
      <c r="K146" s="30"/>
    </row>
    <row r="149" spans="1:11" ht="14" x14ac:dyDescent="0.3">
      <c r="A149" s="41" t="str">
        <f>CONCATENATE("Итого по разделу: ",IF(Source!G157&lt;&gt;"Новый раздел", Source!G157, ""))</f>
        <v>Итого по разделу: Раздел: Основная зона</v>
      </c>
      <c r="B149" s="41"/>
      <c r="C149" s="41"/>
      <c r="D149" s="41"/>
      <c r="E149" s="41"/>
      <c r="F149" s="41"/>
      <c r="G149" s="41"/>
      <c r="H149" s="41"/>
      <c r="I149" s="39">
        <f>SUM(P35:P148)</f>
        <v>20161375.559999999</v>
      </c>
      <c r="J149" s="40"/>
      <c r="K149" s="30"/>
    </row>
    <row r="152" spans="1:11" ht="14" x14ac:dyDescent="0.3">
      <c r="A152" s="41" t="str">
        <f>CONCATENATE("Итого по локальной смете: ",IF(Source!G187&lt;&gt;"Новая локальная смета", Source!G187, ""))</f>
        <v>Итого по локальной смете: Локальная смета: Зона №5</v>
      </c>
      <c r="B152" s="41"/>
      <c r="C152" s="41"/>
      <c r="D152" s="41"/>
      <c r="E152" s="41"/>
      <c r="F152" s="41"/>
      <c r="G152" s="41"/>
      <c r="H152" s="41"/>
      <c r="I152" s="39">
        <f>SUM(P33:P151)</f>
        <v>20161375.559999999</v>
      </c>
      <c r="J152" s="40"/>
      <c r="K152" s="30"/>
    </row>
    <row r="154" spans="1:11" ht="14" x14ac:dyDescent="0.3">
      <c r="C154" s="42" t="str">
        <f>Source!H216</f>
        <v>НДС 22%</v>
      </c>
      <c r="D154" s="42"/>
      <c r="E154" s="42"/>
      <c r="F154" s="42"/>
      <c r="G154" s="42"/>
      <c r="H154" s="42"/>
      <c r="I154" s="43">
        <f>IF(Source!F216=0, "", Source!F216)</f>
        <v>4435502.62</v>
      </c>
      <c r="J154" s="43"/>
    </row>
    <row r="155" spans="1:11" ht="14" x14ac:dyDescent="0.3">
      <c r="C155" s="42" t="str">
        <f>Source!H217</f>
        <v>Итого с НДС</v>
      </c>
      <c r="D155" s="42"/>
      <c r="E155" s="42"/>
      <c r="F155" s="42"/>
      <c r="G155" s="42"/>
      <c r="H155" s="42"/>
      <c r="I155" s="43">
        <f>IF(Source!F217=0, "", Source!F217)</f>
        <v>24193650.670000002</v>
      </c>
      <c r="J155" s="43"/>
    </row>
    <row r="157" spans="1:11" ht="14" x14ac:dyDescent="0.3">
      <c r="A157" s="41" t="str">
        <f>CONCATENATE("Итого по смете: ",IF(Source!G219&lt;&gt;"Новый объект", Source!G219, ""))</f>
        <v>Итого по смете: Зона 5</v>
      </c>
      <c r="B157" s="41"/>
      <c r="C157" s="41"/>
      <c r="D157" s="41"/>
      <c r="E157" s="41"/>
      <c r="F157" s="41"/>
      <c r="G157" s="41"/>
      <c r="H157" s="41"/>
      <c r="I157" s="39">
        <f>SUM(P1:P156)</f>
        <v>20161375.559999999</v>
      </c>
      <c r="J157" s="40"/>
      <c r="K157" s="30"/>
    </row>
    <row r="158" spans="1:11" ht="14" x14ac:dyDescent="0.3">
      <c r="C158" s="42" t="str">
        <f>Source!H248</f>
        <v>Итого</v>
      </c>
      <c r="D158" s="42"/>
      <c r="E158" s="42"/>
      <c r="F158" s="42"/>
      <c r="G158" s="42"/>
      <c r="H158" s="42"/>
      <c r="I158" s="43">
        <f>IF(Source!F248=0, "", Source!F248)</f>
        <v>20161375.559999999</v>
      </c>
      <c r="J158" s="43"/>
    </row>
    <row r="159" spans="1:11" ht="14" x14ac:dyDescent="0.3">
      <c r="C159" s="42" t="str">
        <f>Source!H249</f>
        <v>НДС 22%</v>
      </c>
      <c r="D159" s="42"/>
      <c r="E159" s="42"/>
      <c r="F159" s="42"/>
      <c r="G159" s="42"/>
      <c r="H159" s="42"/>
      <c r="I159" s="43">
        <f>IF(Source!F249=0, "", Source!F249)</f>
        <v>4435502.62</v>
      </c>
      <c r="J159" s="43"/>
    </row>
    <row r="160" spans="1:11" ht="14" x14ac:dyDescent="0.3">
      <c r="C160" s="42" t="str">
        <f>Source!H250</f>
        <v>Всего</v>
      </c>
      <c r="D160" s="42"/>
      <c r="E160" s="42"/>
      <c r="F160" s="42"/>
      <c r="G160" s="42"/>
      <c r="H160" s="42"/>
      <c r="I160" s="43">
        <f>IF(Source!F250=0, "", Source!F250)</f>
        <v>24596878.18</v>
      </c>
      <c r="J160" s="43"/>
    </row>
    <row r="163" spans="1:11" ht="14" x14ac:dyDescent="0.3">
      <c r="A163" s="44" t="s">
        <v>251</v>
      </c>
      <c r="B163" s="44"/>
      <c r="C163" s="32" t="str">
        <f>IF(Source!AC12&lt;&gt;"", Source!AC12," ")</f>
        <v xml:space="preserve"> </v>
      </c>
      <c r="D163" s="32"/>
      <c r="E163" s="32"/>
      <c r="F163" s="32"/>
      <c r="G163" s="32"/>
      <c r="H163" s="9" t="str">
        <f>IF(Source!AB12&lt;&gt;"", Source!AB12," ")</f>
        <v xml:space="preserve"> </v>
      </c>
      <c r="I163" s="9"/>
      <c r="J163" s="9"/>
      <c r="K163" s="9"/>
    </row>
    <row r="164" spans="1:11" ht="14" x14ac:dyDescent="0.3">
      <c r="A164" s="9"/>
      <c r="B164" s="9"/>
      <c r="C164" s="38" t="s">
        <v>252</v>
      </c>
      <c r="D164" s="38"/>
      <c r="E164" s="38"/>
      <c r="F164" s="38"/>
      <c r="G164" s="38"/>
      <c r="H164" s="9"/>
      <c r="I164" s="9"/>
      <c r="J164" s="9"/>
      <c r="K164" s="9"/>
    </row>
    <row r="165" spans="1:11" ht="14" x14ac:dyDescent="0.3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</row>
    <row r="166" spans="1:11" ht="14" x14ac:dyDescent="0.3">
      <c r="A166" s="44" t="s">
        <v>253</v>
      </c>
      <c r="B166" s="44"/>
      <c r="C166" s="32" t="str">
        <f>IF(Source!AE12&lt;&gt;"", Source!AE12," ")</f>
        <v xml:space="preserve"> </v>
      </c>
      <c r="D166" s="32"/>
      <c r="E166" s="32"/>
      <c r="F166" s="32"/>
      <c r="G166" s="32"/>
      <c r="H166" s="9" t="str">
        <f>IF(Source!AD12&lt;&gt;"", Source!AD12," ")</f>
        <v xml:space="preserve"> </v>
      </c>
      <c r="I166" s="9"/>
      <c r="J166" s="9"/>
      <c r="K166" s="9"/>
    </row>
    <row r="167" spans="1:11" ht="14" x14ac:dyDescent="0.3">
      <c r="A167" s="9"/>
      <c r="B167" s="9"/>
      <c r="C167" s="38" t="s">
        <v>252</v>
      </c>
      <c r="D167" s="38"/>
      <c r="E167" s="38"/>
      <c r="F167" s="38"/>
      <c r="G167" s="38"/>
      <c r="H167" s="9"/>
      <c r="I167" s="9"/>
      <c r="J167" s="9"/>
      <c r="K167" s="9"/>
    </row>
  </sheetData>
  <mergeCells count="83">
    <mergeCell ref="J2:K2"/>
    <mergeCell ref="A10:K10"/>
    <mergeCell ref="A11:K11"/>
    <mergeCell ref="A14:K14"/>
    <mergeCell ref="A16:K16"/>
    <mergeCell ref="A13:K13"/>
    <mergeCell ref="B3:E3"/>
    <mergeCell ref="G3:K3"/>
    <mergeCell ref="B4:E4"/>
    <mergeCell ref="G4:K4"/>
    <mergeCell ref="B6:E6"/>
    <mergeCell ref="G6:K6"/>
    <mergeCell ref="B7:E7"/>
    <mergeCell ref="G7:K7"/>
    <mergeCell ref="A17:K17"/>
    <mergeCell ref="A19:K19"/>
    <mergeCell ref="F21:H21"/>
    <mergeCell ref="I21:J21"/>
    <mergeCell ref="F22:H22"/>
    <mergeCell ref="I22:J22"/>
    <mergeCell ref="F23:H23"/>
    <mergeCell ref="I23:J23"/>
    <mergeCell ref="F24:H24"/>
    <mergeCell ref="I24:J24"/>
    <mergeCell ref="A35:K35"/>
    <mergeCell ref="F25:H25"/>
    <mergeCell ref="I25:J25"/>
    <mergeCell ref="F26:H26"/>
    <mergeCell ref="I26:J26"/>
    <mergeCell ref="A28:A30"/>
    <mergeCell ref="B28:B30"/>
    <mergeCell ref="C28:C30"/>
    <mergeCell ref="D28:D30"/>
    <mergeCell ref="E28:E30"/>
    <mergeCell ref="F28:F30"/>
    <mergeCell ref="G28:G30"/>
    <mergeCell ref="H28:H30"/>
    <mergeCell ref="I28:I30"/>
    <mergeCell ref="J28:J30"/>
    <mergeCell ref="A33:K33"/>
    <mergeCell ref="A101:H101"/>
    <mergeCell ref="A37:K37"/>
    <mergeCell ref="I42:J42"/>
    <mergeCell ref="I48:J48"/>
    <mergeCell ref="I56:J56"/>
    <mergeCell ref="I62:J62"/>
    <mergeCell ref="I69:J69"/>
    <mergeCell ref="I79:J79"/>
    <mergeCell ref="I85:J85"/>
    <mergeCell ref="I94:J94"/>
    <mergeCell ref="I99:J99"/>
    <mergeCell ref="I101:J101"/>
    <mergeCell ref="I149:J149"/>
    <mergeCell ref="A149:H149"/>
    <mergeCell ref="A104:K104"/>
    <mergeCell ref="I111:J111"/>
    <mergeCell ref="I117:J117"/>
    <mergeCell ref="I123:J123"/>
    <mergeCell ref="I125:J125"/>
    <mergeCell ref="A125:H125"/>
    <mergeCell ref="A128:K128"/>
    <mergeCell ref="I135:J135"/>
    <mergeCell ref="I144:J144"/>
    <mergeCell ref="I146:J146"/>
    <mergeCell ref="A146:H146"/>
    <mergeCell ref="I152:J152"/>
    <mergeCell ref="A152:H152"/>
    <mergeCell ref="C154:H154"/>
    <mergeCell ref="I154:J154"/>
    <mergeCell ref="C155:H155"/>
    <mergeCell ref="I155:J155"/>
    <mergeCell ref="C167:G167"/>
    <mergeCell ref="I157:J157"/>
    <mergeCell ref="A157:H157"/>
    <mergeCell ref="C158:H158"/>
    <mergeCell ref="I158:J158"/>
    <mergeCell ref="C159:H159"/>
    <mergeCell ref="I159:J159"/>
    <mergeCell ref="C160:H160"/>
    <mergeCell ref="I160:J160"/>
    <mergeCell ref="A163:B163"/>
    <mergeCell ref="C164:G164"/>
    <mergeCell ref="A166:B166"/>
  </mergeCells>
  <pageMargins left="0.4" right="0.2" top="0.2" bottom="0.4" header="0.2" footer="0.2"/>
  <pageSetup paperSize="9" scale="64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9D06D-60B3-46FD-A587-6BC1BC4B0E73}">
  <sheetPr>
    <pageSetUpPr fitToPage="1"/>
  </sheetPr>
  <dimension ref="A1:F42"/>
  <sheetViews>
    <sheetView zoomScaleNormal="100" workbookViewId="0"/>
  </sheetViews>
  <sheetFormatPr defaultRowHeight="12.5" x14ac:dyDescent="0.25"/>
  <cols>
    <col min="1" max="2" width="6.54296875" customWidth="1"/>
    <col min="3" max="3" width="75.54296875" customWidth="1"/>
    <col min="4" max="6" width="15.54296875" customWidth="1"/>
    <col min="30" max="32" width="0" hidden="1" customWidth="1"/>
  </cols>
  <sheetData>
    <row r="1" spans="1:6" x14ac:dyDescent="0.25">
      <c r="A1" s="7" t="str">
        <f>Source!B1</f>
        <v>Smeta.RU Flash  (495) 974-1589</v>
      </c>
    </row>
    <row r="2" spans="1:6" ht="14" x14ac:dyDescent="0.3">
      <c r="D2" s="9"/>
      <c r="E2" s="9"/>
    </row>
    <row r="3" spans="1:6" ht="14" x14ac:dyDescent="0.3">
      <c r="D3" s="9"/>
      <c r="E3" s="25" t="s">
        <v>212</v>
      </c>
    </row>
    <row r="4" spans="1:6" ht="14" x14ac:dyDescent="0.3">
      <c r="D4" s="25"/>
      <c r="E4" s="25"/>
    </row>
    <row r="5" spans="1:6" ht="14" x14ac:dyDescent="0.3">
      <c r="D5" s="40" t="s">
        <v>254</v>
      </c>
      <c r="E5" s="40"/>
    </row>
    <row r="6" spans="1:6" ht="14" x14ac:dyDescent="0.3">
      <c r="D6" s="25"/>
      <c r="E6" s="25"/>
    </row>
    <row r="7" spans="1:6" ht="14" x14ac:dyDescent="0.3">
      <c r="D7" s="40" t="s">
        <v>254</v>
      </c>
      <c r="E7" s="40"/>
    </row>
    <row r="8" spans="1:6" ht="14" x14ac:dyDescent="0.3">
      <c r="D8" s="25"/>
      <c r="E8" s="25"/>
    </row>
    <row r="9" spans="1:6" ht="14" x14ac:dyDescent="0.3">
      <c r="D9" s="25" t="s">
        <v>255</v>
      </c>
      <c r="E9" s="9"/>
    </row>
    <row r="10" spans="1:6" ht="14" x14ac:dyDescent="0.3">
      <c r="D10" s="9"/>
      <c r="E10" s="9"/>
    </row>
    <row r="12" spans="1:6" ht="15.5" x14ac:dyDescent="0.25">
      <c r="B12" s="58" t="str">
        <f>CONCATENATE("Ведомость объемов работ ", IF(Source!AN15&lt;&gt;"", Source!AN15," "))</f>
        <v xml:space="preserve">Ведомость объемов работ  </v>
      </c>
      <c r="C12" s="58"/>
      <c r="D12" s="58"/>
      <c r="E12" s="58"/>
    </row>
    <row r="13" spans="1:6" ht="14" x14ac:dyDescent="0.25">
      <c r="B13" s="59" t="str">
        <f>Source!G12</f>
        <v>Зона 5</v>
      </c>
      <c r="C13" s="59"/>
      <c r="D13" s="59"/>
      <c r="E13" s="59"/>
    </row>
    <row r="14" spans="1:6" ht="14" x14ac:dyDescent="0.25">
      <c r="B14" s="59" t="str">
        <f>Source!G20</f>
        <v>Локальная смета: Зона №5</v>
      </c>
      <c r="C14" s="59"/>
      <c r="D14" s="59"/>
      <c r="E14" s="59"/>
    </row>
    <row r="16" spans="1:6" ht="28" x14ac:dyDescent="0.25">
      <c r="A16" s="16" t="s">
        <v>256</v>
      </c>
      <c r="B16" s="16" t="s">
        <v>257</v>
      </c>
      <c r="C16" s="16" t="s">
        <v>227</v>
      </c>
      <c r="D16" s="16" t="s">
        <v>228</v>
      </c>
      <c r="E16" s="16" t="s">
        <v>258</v>
      </c>
      <c r="F16" s="16" t="s">
        <v>259</v>
      </c>
    </row>
    <row r="17" spans="1:6" ht="14" x14ac:dyDescent="0.25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</row>
    <row r="18" spans="1:6" ht="16.5" x14ac:dyDescent="0.35">
      <c r="A18" s="57" t="str">
        <f>CONCATENATE("Раздел: ", Source!G24)</f>
        <v>Раздел: Раздел: Основная зона</v>
      </c>
      <c r="B18" s="57"/>
      <c r="C18" s="57"/>
      <c r="D18" s="57"/>
      <c r="E18" s="57"/>
      <c r="F18" s="57"/>
    </row>
    <row r="19" spans="1:6" ht="16.5" x14ac:dyDescent="0.35">
      <c r="A19" s="57" t="str">
        <f>CONCATENATE("Подраздел: ", Source!G28)</f>
        <v xml:space="preserve">Подраздел: Подраздел: ЗИМНЯЯ УБОРКА </v>
      </c>
      <c r="B19" s="57"/>
      <c r="C19" s="57"/>
      <c r="D19" s="57"/>
      <c r="E19" s="57"/>
      <c r="F19" s="57"/>
    </row>
    <row r="20" spans="1:6" ht="14" x14ac:dyDescent="0.25">
      <c r="A20" s="16">
        <v>1</v>
      </c>
      <c r="B20" s="16" t="str">
        <f>Source!E32</f>
        <v>1</v>
      </c>
      <c r="C20" s="35" t="str">
        <f>Source!G32</f>
        <v>Уборка снега средствами малой механизации</v>
      </c>
      <c r="D20" s="16" t="s">
        <v>20</v>
      </c>
      <c r="E20" s="36">
        <f>Source!I32</f>
        <v>43.654879999999999</v>
      </c>
      <c r="F20" s="35"/>
    </row>
    <row r="21" spans="1:6" ht="14" x14ac:dyDescent="0.25">
      <c r="A21" s="16">
        <v>2</v>
      </c>
      <c r="B21" s="16" t="str">
        <f>Source!E33</f>
        <v>2</v>
      </c>
      <c r="C21" s="35" t="str">
        <f>Source!G33</f>
        <v>Уборка свежевыпавшего снега вручную толщиной слоя до 10 см</v>
      </c>
      <c r="D21" s="16" t="s">
        <v>29</v>
      </c>
      <c r="E21" s="36">
        <f>Source!I33</f>
        <v>109.13720000000001</v>
      </c>
      <c r="F21" s="35"/>
    </row>
    <row r="22" spans="1:6" ht="28" x14ac:dyDescent="0.25">
      <c r="A22" s="16">
        <v>3</v>
      </c>
      <c r="B22" s="16" t="str">
        <f>Source!E34</f>
        <v>3</v>
      </c>
      <c r="C22" s="35" t="str">
        <f>Source!G34</f>
        <v>Подметание тротуаров, придомовых и внутрибольничных проездов средствами малой механизации</v>
      </c>
      <c r="D22" s="16" t="s">
        <v>20</v>
      </c>
      <c r="E22" s="36">
        <f>Source!I34</f>
        <v>43.654879999999999</v>
      </c>
      <c r="F22" s="35"/>
    </row>
    <row r="23" spans="1:6" ht="14" x14ac:dyDescent="0.25">
      <c r="A23" s="16">
        <v>3.1</v>
      </c>
      <c r="B23" s="16" t="str">
        <f>Source!E35</f>
        <v>3,1</v>
      </c>
      <c r="C23" s="35" t="str">
        <f>Source!G35</f>
        <v>Вода</v>
      </c>
      <c r="D23" s="16" t="s">
        <v>39</v>
      </c>
      <c r="E23" s="36">
        <f>Source!I35</f>
        <v>-436.54880000000009</v>
      </c>
      <c r="F23" s="35"/>
    </row>
    <row r="24" spans="1:6" ht="14" x14ac:dyDescent="0.25">
      <c r="A24" s="16">
        <v>4</v>
      </c>
      <c r="B24" s="16" t="str">
        <f>Source!E36</f>
        <v>4</v>
      </c>
      <c r="C24" s="35" t="str">
        <f>Source!G36</f>
        <v>Подметание вручную дорожек и площадок с твердым покрытием</v>
      </c>
      <c r="D24" s="16" t="s">
        <v>29</v>
      </c>
      <c r="E24" s="36">
        <f>Source!I36</f>
        <v>109.13720000000001</v>
      </c>
      <c r="F24" s="35"/>
    </row>
    <row r="25" spans="1:6" ht="28" x14ac:dyDescent="0.25">
      <c r="A25" s="16">
        <v>5</v>
      </c>
      <c r="B25" s="16" t="str">
        <f>Source!E37</f>
        <v>5</v>
      </c>
      <c r="C25" s="35" t="str">
        <f>Source!G37</f>
        <v>Посыпка противогололедными реагентами ХКНтв дорожных покрытий вручную</v>
      </c>
      <c r="D25" s="16" t="s">
        <v>29</v>
      </c>
      <c r="E25" s="36">
        <f>Source!I37</f>
        <v>109.13720000000001</v>
      </c>
      <c r="F25" s="35"/>
    </row>
    <row r="26" spans="1:6" ht="28" x14ac:dyDescent="0.25">
      <c r="A26" s="16">
        <v>6</v>
      </c>
      <c r="B26" s="16" t="str">
        <f>Source!E38</f>
        <v>6</v>
      </c>
      <c r="C26" s="35" t="str">
        <f>Source!G38</f>
        <v>Посыпка противогололедными реагентами дорожных покрытий средствами малой механизации</v>
      </c>
      <c r="D26" s="16" t="s">
        <v>20</v>
      </c>
      <c r="E26" s="36">
        <f>Source!I38</f>
        <v>43.654879999999999</v>
      </c>
      <c r="F26" s="35"/>
    </row>
    <row r="27" spans="1:6" ht="14" x14ac:dyDescent="0.25">
      <c r="A27" s="16">
        <v>7</v>
      </c>
      <c r="B27" s="16" t="str">
        <f>Source!E39</f>
        <v>7</v>
      </c>
      <c r="C27" s="35" t="str">
        <f>Source!G39</f>
        <v>Колка льда на обледеневших покрытиях вручную</v>
      </c>
      <c r="D27" s="16" t="s">
        <v>29</v>
      </c>
      <c r="E27" s="36">
        <f>Source!I39</f>
        <v>5.4569000000000001</v>
      </c>
      <c r="F27" s="35"/>
    </row>
    <row r="28" spans="1:6" ht="42" x14ac:dyDescent="0.25">
      <c r="A28" s="16">
        <v>8</v>
      </c>
      <c r="B28" s="16" t="str">
        <f>Source!E40</f>
        <v>8</v>
      </c>
      <c r="C28" s="35" t="str">
        <f>Source!G40</f>
        <v>Сбор и перемещение снега и скола к месту временного размещения механизированным способом, объем ковша погрузчика до 0,5 м3 - перемещение на 250 м</v>
      </c>
      <c r="D28" s="16" t="s">
        <v>39</v>
      </c>
      <c r="E28" s="36">
        <f>Source!I40</f>
        <v>4911.18</v>
      </c>
      <c r="F28" s="35"/>
    </row>
    <row r="29" spans="1:6" ht="14" x14ac:dyDescent="0.25">
      <c r="A29" s="16">
        <v>9</v>
      </c>
      <c r="B29" s="16" t="str">
        <f>Source!E41</f>
        <v>9</v>
      </c>
      <c r="C29" s="35" t="str">
        <f>Source!G41</f>
        <v>Погрузка снега средствами малой механизации</v>
      </c>
      <c r="D29" s="16" t="s">
        <v>39</v>
      </c>
      <c r="E29" s="36">
        <f>Source!I41</f>
        <v>4911.18</v>
      </c>
      <c r="F29" s="35"/>
    </row>
    <row r="30" spans="1:6" ht="16.5" x14ac:dyDescent="0.35">
      <c r="A30" s="57" t="str">
        <f>CONCATENATE("Подраздел: ", Source!G73)</f>
        <v xml:space="preserve">Подраздел: Подраздел: ЛЕТНЯЯ УБОРКА </v>
      </c>
      <c r="B30" s="57"/>
      <c r="C30" s="57"/>
      <c r="D30" s="57"/>
      <c r="E30" s="57"/>
      <c r="F30" s="57"/>
    </row>
    <row r="31" spans="1:6" ht="28" x14ac:dyDescent="0.25">
      <c r="A31" s="16">
        <v>10</v>
      </c>
      <c r="B31" s="16" t="str">
        <f>Source!E77</f>
        <v>10</v>
      </c>
      <c r="C31" s="35" t="str">
        <f>Source!G77</f>
        <v>Подметание тротуаров, придомовых и внутрибольничных проездов средствами малой механизации</v>
      </c>
      <c r="D31" s="16" t="s">
        <v>20</v>
      </c>
      <c r="E31" s="36">
        <f>Source!I77</f>
        <v>43.654879999999999</v>
      </c>
      <c r="F31" s="35"/>
    </row>
    <row r="32" spans="1:6" ht="14" x14ac:dyDescent="0.25">
      <c r="A32" s="16">
        <v>10.1</v>
      </c>
      <c r="B32" s="16" t="str">
        <f>Source!E78</f>
        <v>10,1</v>
      </c>
      <c r="C32" s="35" t="str">
        <f>Source!G78</f>
        <v>Вода</v>
      </c>
      <c r="D32" s="16" t="s">
        <v>39</v>
      </c>
      <c r="E32" s="36">
        <f>Source!I78</f>
        <v>-497.66563200000002</v>
      </c>
      <c r="F32" s="35"/>
    </row>
    <row r="33" spans="1:6" ht="14" x14ac:dyDescent="0.25">
      <c r="A33" s="16">
        <v>11</v>
      </c>
      <c r="B33" s="16" t="str">
        <f>Source!E79</f>
        <v>11</v>
      </c>
      <c r="C33" s="35" t="str">
        <f>Source!G79</f>
        <v>Подметание вручную дорожек и площадок с твердым покрытием</v>
      </c>
      <c r="D33" s="16" t="s">
        <v>29</v>
      </c>
      <c r="E33" s="36">
        <f>Source!I79</f>
        <v>109.13720000000001</v>
      </c>
      <c r="F33" s="35"/>
    </row>
    <row r="34" spans="1:6" ht="28" x14ac:dyDescent="0.25">
      <c r="A34" s="16">
        <v>12</v>
      </c>
      <c r="B34" s="16" t="str">
        <f>Source!E80</f>
        <v>12</v>
      </c>
      <c r="C34" s="35" t="str">
        <f>Source!G80</f>
        <v>Полив тротуаров, придомовых и внутрибольничных проездов средствами малой механизации</v>
      </c>
      <c r="D34" s="16" t="s">
        <v>20</v>
      </c>
      <c r="E34" s="36">
        <f>Source!I80</f>
        <v>54.568600000000004</v>
      </c>
      <c r="F34" s="35"/>
    </row>
    <row r="35" spans="1:6" ht="16.5" x14ac:dyDescent="0.35">
      <c r="A35" s="57" t="str">
        <f>CONCATENATE("Подраздел: ", Source!G113)</f>
        <v xml:space="preserve">Подраздел: Подраздел: УХОД ЗА ЗЕЛЕНЫМИ НАСАЖДЕНИЯМИ </v>
      </c>
      <c r="B35" s="57"/>
      <c r="C35" s="57"/>
      <c r="D35" s="57"/>
      <c r="E35" s="57"/>
      <c r="F35" s="57"/>
    </row>
    <row r="36" spans="1:6" ht="14" x14ac:dyDescent="0.25">
      <c r="A36" s="16">
        <v>13</v>
      </c>
      <c r="B36" s="16" t="str">
        <f>Source!E120</f>
        <v>13</v>
      </c>
      <c r="C36" s="35" t="str">
        <f>Source!G120</f>
        <v>Сбор случайного мусора по территории</v>
      </c>
      <c r="D36" s="16" t="s">
        <v>29</v>
      </c>
      <c r="E36" s="36">
        <f>Source!I120</f>
        <v>45.332799999999999</v>
      </c>
      <c r="F36" s="35"/>
    </row>
    <row r="37" spans="1:6" ht="14" x14ac:dyDescent="0.25">
      <c r="A37" s="18">
        <v>14</v>
      </c>
      <c r="B37" s="18" t="str">
        <f>Source!E121</f>
        <v>14</v>
      </c>
      <c r="C37" s="33" t="str">
        <f>Source!G121</f>
        <v>Выкашивание газонов газонокосилкой</v>
      </c>
      <c r="D37" s="18" t="s">
        <v>29</v>
      </c>
      <c r="E37" s="34">
        <f>Source!I121</f>
        <v>226.66399999999999</v>
      </c>
      <c r="F37" s="33"/>
    </row>
    <row r="40" spans="1:6" ht="14" x14ac:dyDescent="0.3">
      <c r="C40" s="37" t="s">
        <v>260</v>
      </c>
      <c r="D40" s="37" t="str">
        <f>IF(Source!X12&lt;&gt;"", Source!X12," ")</f>
        <v xml:space="preserve"> </v>
      </c>
      <c r="E40" s="30"/>
    </row>
    <row r="41" spans="1:6" ht="14" x14ac:dyDescent="0.3">
      <c r="C41" s="9"/>
      <c r="D41" s="30"/>
      <c r="E41" s="30"/>
    </row>
    <row r="42" spans="1:6" ht="14" x14ac:dyDescent="0.3">
      <c r="C42" s="37" t="s">
        <v>261</v>
      </c>
      <c r="D42" s="37" t="str">
        <f>IF(Source!AB12&lt;&gt;"", Source!AB12," ")</f>
        <v xml:space="preserve"> </v>
      </c>
      <c r="E42" s="30"/>
    </row>
  </sheetData>
  <mergeCells count="9">
    <mergeCell ref="A19:F19"/>
    <mergeCell ref="A30:F30"/>
    <mergeCell ref="A35:F35"/>
    <mergeCell ref="D5:E5"/>
    <mergeCell ref="D7:E7"/>
    <mergeCell ref="B12:E12"/>
    <mergeCell ref="B13:E13"/>
    <mergeCell ref="B14:E14"/>
    <mergeCell ref="A18:F18"/>
  </mergeCells>
  <pageMargins left="0.4" right="0.2" top="0.2" bottom="0.4" header="0.2" footer="0.2"/>
  <pageSetup paperSize="9" scale="73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BA2C0-3324-4E46-8497-191AA0A4FDD6}">
  <dimension ref="A1:IK259"/>
  <sheetViews>
    <sheetView topLeftCell="A193" workbookViewId="0">
      <selection activeCell="H250" sqref="H250"/>
    </sheetView>
  </sheetViews>
  <sheetFormatPr defaultColWidth="9.1796875" defaultRowHeight="12.5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33" ht="13" x14ac:dyDescent="0.3">
      <c r="A12" s="1">
        <v>1</v>
      </c>
      <c r="B12" s="1">
        <v>255</v>
      </c>
      <c r="C12" s="1">
        <v>0</v>
      </c>
      <c r="D12" s="1">
        <f>ROW(A219)</f>
        <v>219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ht="13" x14ac:dyDescent="0.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ht="13" x14ac:dyDescent="0.3">
      <c r="A18" s="2">
        <v>52</v>
      </c>
      <c r="B18" s="2">
        <f t="shared" ref="B18:G18" si="0">B219</f>
        <v>255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Зона 5</v>
      </c>
      <c r="H18" s="2"/>
      <c r="I18" s="2"/>
      <c r="J18" s="2"/>
      <c r="K18" s="2"/>
      <c r="L18" s="2"/>
      <c r="M18" s="2"/>
      <c r="N18" s="2"/>
      <c r="O18" s="2">
        <f t="shared" ref="O18:AT18" si="1">O219</f>
        <v>13085247.08</v>
      </c>
      <c r="P18" s="2">
        <f t="shared" si="1"/>
        <v>1135958.33</v>
      </c>
      <c r="Q18" s="2">
        <f t="shared" si="1"/>
        <v>8260958.8700000001</v>
      </c>
      <c r="R18" s="2">
        <f t="shared" si="1"/>
        <v>3819874.61</v>
      </c>
      <c r="S18" s="2">
        <f t="shared" si="1"/>
        <v>3688329.88</v>
      </c>
      <c r="T18" s="2">
        <f t="shared" si="1"/>
        <v>0</v>
      </c>
      <c r="U18" s="2">
        <f t="shared" si="1"/>
        <v>8113.1335250000011</v>
      </c>
      <c r="V18" s="2">
        <f t="shared" si="1"/>
        <v>0</v>
      </c>
      <c r="W18" s="2">
        <f t="shared" si="1"/>
        <v>0</v>
      </c>
      <c r="X18" s="2">
        <f t="shared" si="1"/>
        <v>2581830.92</v>
      </c>
      <c r="Y18" s="2">
        <f t="shared" si="1"/>
        <v>368832.99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20161375.559999999</v>
      </c>
      <c r="AS18" s="2">
        <f t="shared" si="1"/>
        <v>0</v>
      </c>
      <c r="AT18" s="2">
        <f t="shared" si="1"/>
        <v>0</v>
      </c>
      <c r="AU18" s="2">
        <f t="shared" ref="AU18:BZ18" si="2">AU219</f>
        <v>20161375.559999999</v>
      </c>
      <c r="AV18" s="2">
        <f t="shared" si="2"/>
        <v>1135958.33</v>
      </c>
      <c r="AW18" s="2">
        <f t="shared" si="2"/>
        <v>1135958.33</v>
      </c>
      <c r="AX18" s="2">
        <f t="shared" si="2"/>
        <v>0</v>
      </c>
      <c r="AY18" s="2">
        <f t="shared" si="2"/>
        <v>1135958.33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CA219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DG219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EM219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FS219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ht="13" x14ac:dyDescent="0.3">
      <c r="A20" s="1">
        <v>3</v>
      </c>
      <c r="B20" s="1">
        <v>1</v>
      </c>
      <c r="C20" s="1"/>
      <c r="D20" s="1">
        <f>ROW(A187)</f>
        <v>187</v>
      </c>
      <c r="E20" s="1"/>
      <c r="F20" s="1" t="s">
        <v>12</v>
      </c>
      <c r="G20" s="1" t="s">
        <v>13</v>
      </c>
      <c r="H20" s="1" t="s">
        <v>3</v>
      </c>
      <c r="I20" s="1">
        <v>0</v>
      </c>
      <c r="J20" s="1" t="s">
        <v>3</v>
      </c>
      <c r="K20" s="1">
        <v>0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ht="13" x14ac:dyDescent="0.3">
      <c r="A22" s="2">
        <v>52</v>
      </c>
      <c r="B22" s="2">
        <f t="shared" ref="B22:G22" si="7">B187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Локальная смета: Зона №5</v>
      </c>
      <c r="H22" s="2"/>
      <c r="I22" s="2"/>
      <c r="J22" s="2"/>
      <c r="K22" s="2"/>
      <c r="L22" s="2"/>
      <c r="M22" s="2"/>
      <c r="N22" s="2"/>
      <c r="O22" s="2">
        <f t="shared" ref="O22:AT22" si="8">O187</f>
        <v>13085247.08</v>
      </c>
      <c r="P22" s="2">
        <f t="shared" si="8"/>
        <v>1135958.33</v>
      </c>
      <c r="Q22" s="2">
        <f t="shared" si="8"/>
        <v>8260958.8700000001</v>
      </c>
      <c r="R22" s="2">
        <f t="shared" si="8"/>
        <v>3819874.61</v>
      </c>
      <c r="S22" s="2">
        <f t="shared" si="8"/>
        <v>3688329.88</v>
      </c>
      <c r="T22" s="2">
        <f t="shared" si="8"/>
        <v>0</v>
      </c>
      <c r="U22" s="2">
        <f t="shared" si="8"/>
        <v>8113.1335250000011</v>
      </c>
      <c r="V22" s="2">
        <f t="shared" si="8"/>
        <v>0</v>
      </c>
      <c r="W22" s="2">
        <f t="shared" si="8"/>
        <v>0</v>
      </c>
      <c r="X22" s="2">
        <f t="shared" si="8"/>
        <v>2581830.92</v>
      </c>
      <c r="Y22" s="2">
        <f t="shared" si="8"/>
        <v>368832.99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20161375.559999999</v>
      </c>
      <c r="AS22" s="2">
        <f t="shared" si="8"/>
        <v>0</v>
      </c>
      <c r="AT22" s="2">
        <f t="shared" si="8"/>
        <v>0</v>
      </c>
      <c r="AU22" s="2">
        <f t="shared" ref="AU22:BZ22" si="9">AU187</f>
        <v>20161375.559999999</v>
      </c>
      <c r="AV22" s="2">
        <f t="shared" si="9"/>
        <v>1135958.33</v>
      </c>
      <c r="AW22" s="2">
        <f t="shared" si="9"/>
        <v>1135958.33</v>
      </c>
      <c r="AX22" s="2">
        <f t="shared" si="9"/>
        <v>0</v>
      </c>
      <c r="AY22" s="2">
        <f t="shared" si="9"/>
        <v>1135958.33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CA187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DG187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EM187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FS187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ht="13" x14ac:dyDescent="0.3">
      <c r="A24" s="1">
        <v>4</v>
      </c>
      <c r="B24" s="1">
        <v>1</v>
      </c>
      <c r="C24" s="1"/>
      <c r="D24" s="1">
        <f>ROW(A157)</f>
        <v>157</v>
      </c>
      <c r="E24" s="1"/>
      <c r="F24" s="1" t="s">
        <v>14</v>
      </c>
      <c r="G24" s="1" t="s">
        <v>15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ht="13" x14ac:dyDescent="0.3">
      <c r="A26" s="2">
        <v>52</v>
      </c>
      <c r="B26" s="2">
        <f t="shared" ref="B26:G26" si="14">B157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Раздел: Основная зона</v>
      </c>
      <c r="H26" s="2"/>
      <c r="I26" s="2"/>
      <c r="J26" s="2"/>
      <c r="K26" s="2"/>
      <c r="L26" s="2"/>
      <c r="M26" s="2"/>
      <c r="N26" s="2"/>
      <c r="O26" s="2">
        <f t="shared" ref="O26:AT26" si="15">O157</f>
        <v>13085247.08</v>
      </c>
      <c r="P26" s="2">
        <f t="shared" si="15"/>
        <v>1135958.33</v>
      </c>
      <c r="Q26" s="2">
        <f t="shared" si="15"/>
        <v>8260958.8700000001</v>
      </c>
      <c r="R26" s="2">
        <f t="shared" si="15"/>
        <v>3819874.61</v>
      </c>
      <c r="S26" s="2">
        <f t="shared" si="15"/>
        <v>3688329.88</v>
      </c>
      <c r="T26" s="2">
        <f t="shared" si="15"/>
        <v>0</v>
      </c>
      <c r="U26" s="2">
        <f t="shared" si="15"/>
        <v>8113.1335250000011</v>
      </c>
      <c r="V26" s="2">
        <f t="shared" si="15"/>
        <v>0</v>
      </c>
      <c r="W26" s="2">
        <f t="shared" si="15"/>
        <v>0</v>
      </c>
      <c r="X26" s="2">
        <f t="shared" si="15"/>
        <v>2581830.92</v>
      </c>
      <c r="Y26" s="2">
        <f t="shared" si="15"/>
        <v>368832.99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20161375.559999999</v>
      </c>
      <c r="AS26" s="2">
        <f t="shared" si="15"/>
        <v>0</v>
      </c>
      <c r="AT26" s="2">
        <f t="shared" si="15"/>
        <v>0</v>
      </c>
      <c r="AU26" s="2">
        <f t="shared" ref="AU26:BZ26" si="16">AU157</f>
        <v>20161375.559999999</v>
      </c>
      <c r="AV26" s="2">
        <f t="shared" si="16"/>
        <v>1135958.33</v>
      </c>
      <c r="AW26" s="2">
        <f t="shared" si="16"/>
        <v>1135958.33</v>
      </c>
      <c r="AX26" s="2">
        <f t="shared" si="16"/>
        <v>0</v>
      </c>
      <c r="AY26" s="2">
        <f t="shared" si="16"/>
        <v>1135958.33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CA157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DG157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EM157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FS157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ht="13" x14ac:dyDescent="0.3">
      <c r="A28" s="1">
        <v>5</v>
      </c>
      <c r="B28" s="1">
        <v>1</v>
      </c>
      <c r="C28" s="1"/>
      <c r="D28" s="1">
        <f>ROW(A43)</f>
        <v>43</v>
      </c>
      <c r="E28" s="1"/>
      <c r="F28" s="1" t="s">
        <v>16</v>
      </c>
      <c r="G28" s="1" t="s">
        <v>262</v>
      </c>
      <c r="H28" s="1" t="s">
        <v>3</v>
      </c>
      <c r="I28" s="1">
        <v>0</v>
      </c>
      <c r="J28" s="1"/>
      <c r="K28" s="1">
        <v>0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3</v>
      </c>
      <c r="BE28" s="1" t="s">
        <v>3</v>
      </c>
      <c r="BF28" s="1" t="s">
        <v>3</v>
      </c>
      <c r="BG28" s="1" t="s">
        <v>3</v>
      </c>
      <c r="BH28" s="1" t="s">
        <v>3</v>
      </c>
      <c r="BI28" s="1" t="s">
        <v>3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3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ht="13" x14ac:dyDescent="0.3">
      <c r="A30" s="2">
        <v>52</v>
      </c>
      <c r="B30" s="2">
        <f t="shared" ref="B30:G30" si="21">B43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 xml:space="preserve">Подраздел: ЗИМНЯЯ УБОРКА </v>
      </c>
      <c r="H30" s="2"/>
      <c r="I30" s="2"/>
      <c r="J30" s="2"/>
      <c r="K30" s="2"/>
      <c r="L30" s="2"/>
      <c r="M30" s="2"/>
      <c r="N30" s="2"/>
      <c r="O30" s="2">
        <f t="shared" ref="O30:AT30" si="22">O43</f>
        <v>9831196.6600000001</v>
      </c>
      <c r="P30" s="2">
        <f t="shared" si="22"/>
        <v>1117287.72</v>
      </c>
      <c r="Q30" s="2">
        <f t="shared" si="22"/>
        <v>6643140.9400000004</v>
      </c>
      <c r="R30" s="2">
        <f t="shared" si="22"/>
        <v>3075803.26</v>
      </c>
      <c r="S30" s="2">
        <f t="shared" si="22"/>
        <v>2070768</v>
      </c>
      <c r="T30" s="2">
        <f t="shared" si="22"/>
        <v>0</v>
      </c>
      <c r="U30" s="2">
        <f t="shared" si="22"/>
        <v>4569.8501090000009</v>
      </c>
      <c r="V30" s="2">
        <f t="shared" si="22"/>
        <v>0</v>
      </c>
      <c r="W30" s="2">
        <f t="shared" si="22"/>
        <v>0</v>
      </c>
      <c r="X30" s="2">
        <f t="shared" si="22"/>
        <v>1449537.6</v>
      </c>
      <c r="Y30" s="2">
        <f t="shared" si="22"/>
        <v>207076.8</v>
      </c>
      <c r="Z30" s="2">
        <f t="shared" si="22"/>
        <v>0</v>
      </c>
      <c r="AA30" s="2">
        <f t="shared" si="22"/>
        <v>0</v>
      </c>
      <c r="AB30" s="2">
        <f t="shared" si="22"/>
        <v>9831196.6600000001</v>
      </c>
      <c r="AC30" s="2">
        <f t="shared" si="22"/>
        <v>1117287.72</v>
      </c>
      <c r="AD30" s="2">
        <f t="shared" si="22"/>
        <v>6643140.9400000004</v>
      </c>
      <c r="AE30" s="2">
        <f t="shared" si="22"/>
        <v>3075803.26</v>
      </c>
      <c r="AF30" s="2">
        <f t="shared" si="22"/>
        <v>2070768</v>
      </c>
      <c r="AG30" s="2">
        <f t="shared" si="22"/>
        <v>0</v>
      </c>
      <c r="AH30" s="2">
        <f t="shared" si="22"/>
        <v>4569.8501090000009</v>
      </c>
      <c r="AI30" s="2">
        <f t="shared" si="22"/>
        <v>0</v>
      </c>
      <c r="AJ30" s="2">
        <f t="shared" si="22"/>
        <v>0</v>
      </c>
      <c r="AK30" s="2">
        <f t="shared" si="22"/>
        <v>1449537.6</v>
      </c>
      <c r="AL30" s="2">
        <f t="shared" si="22"/>
        <v>207076.8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14809678.58</v>
      </c>
      <c r="AS30" s="2">
        <f t="shared" si="22"/>
        <v>0</v>
      </c>
      <c r="AT30" s="2">
        <f t="shared" si="22"/>
        <v>0</v>
      </c>
      <c r="AU30" s="2">
        <f t="shared" ref="AU30:BZ30" si="23">AU43</f>
        <v>14809678.58</v>
      </c>
      <c r="AV30" s="2">
        <f t="shared" si="23"/>
        <v>1117287.72</v>
      </c>
      <c r="AW30" s="2">
        <f t="shared" si="23"/>
        <v>1117287.72</v>
      </c>
      <c r="AX30" s="2">
        <f t="shared" si="23"/>
        <v>0</v>
      </c>
      <c r="AY30" s="2">
        <f t="shared" si="23"/>
        <v>1117287.72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CA43</f>
        <v>14809678.58</v>
      </c>
      <c r="CB30" s="2">
        <f t="shared" si="24"/>
        <v>0</v>
      </c>
      <c r="CC30" s="2">
        <f t="shared" si="24"/>
        <v>0</v>
      </c>
      <c r="CD30" s="2">
        <f t="shared" si="24"/>
        <v>14809678.58</v>
      </c>
      <c r="CE30" s="2">
        <f t="shared" si="24"/>
        <v>1117287.72</v>
      </c>
      <c r="CF30" s="2">
        <f t="shared" si="24"/>
        <v>1117287.72</v>
      </c>
      <c r="CG30" s="2">
        <f t="shared" si="24"/>
        <v>0</v>
      </c>
      <c r="CH30" s="2">
        <f t="shared" si="24"/>
        <v>1117287.72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DG43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EM43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FS43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5">
      <c r="A32">
        <v>17</v>
      </c>
      <c r="B32">
        <v>1</v>
      </c>
      <c r="C32">
        <f>ROW(SmtRes!A1)</f>
        <v>1</v>
      </c>
      <c r="D32">
        <f>ROW(EtalonRes!A1)</f>
        <v>1</v>
      </c>
      <c r="E32" t="s">
        <v>17</v>
      </c>
      <c r="F32" t="s">
        <v>18</v>
      </c>
      <c r="G32" t="s">
        <v>19</v>
      </c>
      <c r="H32" t="s">
        <v>20</v>
      </c>
      <c r="I32">
        <v>43.654879999999999</v>
      </c>
      <c r="J32">
        <v>0</v>
      </c>
      <c r="K32">
        <v>43.654879999999999</v>
      </c>
      <c r="O32">
        <f t="shared" ref="O32:O41" si="28">ROUND(CP32,2)</f>
        <v>1098348.05</v>
      </c>
      <c r="P32">
        <f t="shared" ref="P32:P41" si="29">ROUND(CQ32*I32,2)</f>
        <v>0</v>
      </c>
      <c r="Q32">
        <f t="shared" ref="Q32:Q41" si="30">ROUND(CR32*I32,2)</f>
        <v>1098348.05</v>
      </c>
      <c r="R32">
        <f t="shared" ref="R32:R41" si="31">ROUND(CS32*I32,2)</f>
        <v>381098.37</v>
      </c>
      <c r="S32">
        <f t="shared" ref="S32:S41" si="32">ROUND(CT32*I32,2)</f>
        <v>0</v>
      </c>
      <c r="T32">
        <f t="shared" ref="T32:T41" si="33">ROUND(CU32*I32,2)</f>
        <v>0</v>
      </c>
      <c r="U32">
        <f t="shared" ref="U32:U41" si="34">CV32*I32</f>
        <v>0</v>
      </c>
      <c r="V32">
        <f t="shared" ref="V32:V41" si="35">CW32*I32</f>
        <v>0</v>
      </c>
      <c r="W32">
        <f t="shared" ref="W32:W41" si="36">ROUND(CX32*I32,2)</f>
        <v>0</v>
      </c>
      <c r="X32">
        <f t="shared" ref="X32:X41" si="37">ROUND(CY32,2)</f>
        <v>0</v>
      </c>
      <c r="Y32">
        <f t="shared" ref="Y32:Y41" si="38">ROUND(CZ32,2)</f>
        <v>0</v>
      </c>
      <c r="AA32">
        <v>80891843</v>
      </c>
      <c r="AB32">
        <f t="shared" ref="AB32:AB41" si="39">ROUND((AC32+AD32+AF32),6)</f>
        <v>25159.8</v>
      </c>
      <c r="AC32">
        <f>ROUND(((ES32*20)),6)</f>
        <v>0</v>
      </c>
      <c r="AD32">
        <f>ROUND(((((ET32*20))-((EU32*20)))+AE32),6)</f>
        <v>25159.8</v>
      </c>
      <c r="AE32">
        <f>ROUND(((EU32*20)),6)</f>
        <v>8729.7999999999993</v>
      </c>
      <c r="AF32">
        <f>ROUND(((EV32*20)),6)</f>
        <v>0</v>
      </c>
      <c r="AG32">
        <f t="shared" ref="AG32:AG41" si="40">ROUND((AP32),6)</f>
        <v>0</v>
      </c>
      <c r="AH32">
        <f>((EW32*20))</f>
        <v>0</v>
      </c>
      <c r="AI32">
        <f>((EX32*20))</f>
        <v>0</v>
      </c>
      <c r="AJ32">
        <f t="shared" ref="AJ32:AJ41" si="41">(AS32)</f>
        <v>0</v>
      </c>
      <c r="AK32">
        <v>1257.99</v>
      </c>
      <c r="AL32">
        <v>0</v>
      </c>
      <c r="AM32">
        <v>1257.99</v>
      </c>
      <c r="AN32">
        <v>436.49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21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41" si="42">(P32+Q32+S32)</f>
        <v>1098348.05</v>
      </c>
      <c r="CQ32">
        <f t="shared" ref="CQ32:CQ41" si="43">(AC32*BC32*AW32)</f>
        <v>0</v>
      </c>
      <c r="CR32">
        <f>(((((ET32*20))*BB32-((EU32*20))*BS32)+AE32*BS32)*AV32)</f>
        <v>25159.8</v>
      </c>
      <c r="CS32">
        <f t="shared" ref="CS32:CS41" si="44">(AE32*BS32*AV32)</f>
        <v>8729.7999999999993</v>
      </c>
      <c r="CT32">
        <f t="shared" ref="CT32:CT41" si="45">(AF32*BA32*AV32)</f>
        <v>0</v>
      </c>
      <c r="CU32">
        <f t="shared" ref="CU32:CU41" si="46">AG32</f>
        <v>0</v>
      </c>
      <c r="CV32">
        <f t="shared" ref="CV32:CV41" si="47">(AH32*AV32)</f>
        <v>0</v>
      </c>
      <c r="CW32">
        <f t="shared" ref="CW32:CW41" si="48">AI32</f>
        <v>0</v>
      </c>
      <c r="CX32">
        <f t="shared" ref="CX32:CX41" si="49">AJ32</f>
        <v>0</v>
      </c>
      <c r="CY32">
        <f t="shared" ref="CY32:CY41" si="50">((S32*BZ32)/100)</f>
        <v>0</v>
      </c>
      <c r="CZ32">
        <f t="shared" ref="CZ32:CZ41" si="51">((S32*CA32)/100)</f>
        <v>0</v>
      </c>
      <c r="DC32" t="s">
        <v>3</v>
      </c>
      <c r="DD32" t="s">
        <v>22</v>
      </c>
      <c r="DE32" t="s">
        <v>22</v>
      </c>
      <c r="DF32" t="s">
        <v>22</v>
      </c>
      <c r="DG32" t="s">
        <v>22</v>
      </c>
      <c r="DH32" t="s">
        <v>3</v>
      </c>
      <c r="DI32" t="s">
        <v>22</v>
      </c>
      <c r="DJ32" t="s">
        <v>22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1005</v>
      </c>
      <c r="DV32" t="s">
        <v>20</v>
      </c>
      <c r="DW32" t="s">
        <v>20</v>
      </c>
      <c r="DX32">
        <v>1000</v>
      </c>
      <c r="DZ32" t="s">
        <v>3</v>
      </c>
      <c r="EA32" t="s">
        <v>3</v>
      </c>
      <c r="EB32" t="s">
        <v>3</v>
      </c>
      <c r="EC32" t="s">
        <v>3</v>
      </c>
      <c r="EE32">
        <v>80196140</v>
      </c>
      <c r="EF32">
        <v>1</v>
      </c>
      <c r="EG32" t="s">
        <v>23</v>
      </c>
      <c r="EH32">
        <v>0</v>
      </c>
      <c r="EI32" t="s">
        <v>3</v>
      </c>
      <c r="EJ32">
        <v>4</v>
      </c>
      <c r="EK32">
        <v>0</v>
      </c>
      <c r="EL32" t="s">
        <v>24</v>
      </c>
      <c r="EM32" t="s">
        <v>25</v>
      </c>
      <c r="EO32" t="s">
        <v>3</v>
      </c>
      <c r="EQ32">
        <v>0</v>
      </c>
      <c r="ER32">
        <v>1257.99</v>
      </c>
      <c r="ES32">
        <v>0</v>
      </c>
      <c r="ET32">
        <v>1257.99</v>
      </c>
      <c r="EU32">
        <v>436.49</v>
      </c>
      <c r="EV32">
        <v>0</v>
      </c>
      <c r="EW32">
        <v>0</v>
      </c>
      <c r="EX32">
        <v>0</v>
      </c>
      <c r="EY32">
        <v>0</v>
      </c>
      <c r="FQ32">
        <v>0</v>
      </c>
      <c r="FR32"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-459785160</v>
      </c>
      <c r="GG32">
        <v>2</v>
      </c>
      <c r="GH32">
        <v>1</v>
      </c>
      <c r="GI32">
        <v>-2</v>
      </c>
      <c r="GJ32">
        <v>0</v>
      </c>
      <c r="GK32">
        <f>ROUND(R32*(R12)/100,2)</f>
        <v>411586.24</v>
      </c>
      <c r="GL32">
        <f t="shared" ref="GL32:GL41" si="52">ROUND(IF(AND(BH32=3,BI32=3,FS32&lt;&gt;0),P32,0),2)</f>
        <v>0</v>
      </c>
      <c r="GM32">
        <f t="shared" ref="GM32:GM41" si="53">ROUND(O32+X32+Y32+GK32,2)+GX32</f>
        <v>1509934.29</v>
      </c>
      <c r="GN32">
        <f t="shared" ref="GN32:GN41" si="54">IF(OR(BI32=0,BI32=1),GM32-GX32,0)</f>
        <v>0</v>
      </c>
      <c r="GO32">
        <f t="shared" ref="GO32:GO41" si="55">IF(BI32=2,GM32-GX32,0)</f>
        <v>0</v>
      </c>
      <c r="GP32">
        <f t="shared" ref="GP32:GP41" si="56">IF(BI32=4,GM32-GX32,0)</f>
        <v>1509934.29</v>
      </c>
      <c r="GR32">
        <v>0</v>
      </c>
      <c r="GS32">
        <v>3</v>
      </c>
      <c r="GT32">
        <v>0</v>
      </c>
      <c r="GU32" t="s">
        <v>3</v>
      </c>
      <c r="GV32">
        <f t="shared" ref="GV32:GV41" si="57">ROUND((GT32),6)</f>
        <v>0</v>
      </c>
      <c r="GW32">
        <v>1</v>
      </c>
      <c r="GX32">
        <f t="shared" ref="GX32:GX41" si="58">ROUND(HC32*I32,2)</f>
        <v>0</v>
      </c>
      <c r="HA32">
        <v>0</v>
      </c>
      <c r="HB32">
        <v>0</v>
      </c>
      <c r="HC32">
        <f t="shared" ref="HC32:HC41" si="59"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HS32">
        <v>0</v>
      </c>
      <c r="IK32">
        <v>0</v>
      </c>
    </row>
    <row r="33" spans="1:245" x14ac:dyDescent="0.25">
      <c r="A33">
        <v>17</v>
      </c>
      <c r="B33">
        <v>1</v>
      </c>
      <c r="C33">
        <f>ROW(SmtRes!A2)</f>
        <v>2</v>
      </c>
      <c r="D33">
        <f>ROW(EtalonRes!A2)</f>
        <v>2</v>
      </c>
      <c r="E33" t="s">
        <v>26</v>
      </c>
      <c r="F33" t="s">
        <v>27</v>
      </c>
      <c r="G33" t="s">
        <v>28</v>
      </c>
      <c r="H33" t="s">
        <v>29</v>
      </c>
      <c r="I33">
        <v>109.13720000000001</v>
      </c>
      <c r="J33">
        <v>0</v>
      </c>
      <c r="K33">
        <v>109.13720000000001</v>
      </c>
      <c r="O33">
        <f t="shared" si="28"/>
        <v>642905.42000000004</v>
      </c>
      <c r="P33">
        <f t="shared" si="29"/>
        <v>0</v>
      </c>
      <c r="Q33">
        <f t="shared" si="30"/>
        <v>0</v>
      </c>
      <c r="R33">
        <f t="shared" si="31"/>
        <v>0</v>
      </c>
      <c r="S33">
        <f t="shared" si="32"/>
        <v>642905.42000000004</v>
      </c>
      <c r="T33">
        <f t="shared" si="33"/>
        <v>0</v>
      </c>
      <c r="U33">
        <f t="shared" si="34"/>
        <v>1418.7836000000002</v>
      </c>
      <c r="V33">
        <f t="shared" si="35"/>
        <v>0</v>
      </c>
      <c r="W33">
        <f t="shared" si="36"/>
        <v>0</v>
      </c>
      <c r="X33">
        <f t="shared" si="37"/>
        <v>450033.79</v>
      </c>
      <c r="Y33">
        <f t="shared" si="38"/>
        <v>64290.54</v>
      </c>
      <c r="AA33">
        <v>80891843</v>
      </c>
      <c r="AB33">
        <f t="shared" si="39"/>
        <v>5890.8</v>
      </c>
      <c r="AC33">
        <f>ROUND(((ES33*20)),6)</f>
        <v>0</v>
      </c>
      <c r="AD33">
        <f>ROUND(((((ET33*20))-((EU33*20)))+AE33),6)</f>
        <v>0</v>
      </c>
      <c r="AE33">
        <f>ROUND(((EU33*20)),6)</f>
        <v>0</v>
      </c>
      <c r="AF33">
        <f>ROUND(((EV33*20)),6)</f>
        <v>5890.8</v>
      </c>
      <c r="AG33">
        <f t="shared" si="40"/>
        <v>0</v>
      </c>
      <c r="AH33">
        <f>((EW33*20))</f>
        <v>13</v>
      </c>
      <c r="AI33">
        <f>((EX33*20))</f>
        <v>0</v>
      </c>
      <c r="AJ33">
        <f t="shared" si="41"/>
        <v>0</v>
      </c>
      <c r="AK33">
        <v>294.54000000000002</v>
      </c>
      <c r="AL33">
        <v>0</v>
      </c>
      <c r="AM33">
        <v>0</v>
      </c>
      <c r="AN33">
        <v>0</v>
      </c>
      <c r="AO33">
        <v>294.54000000000002</v>
      </c>
      <c r="AP33">
        <v>0</v>
      </c>
      <c r="AQ33">
        <v>0.65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30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2"/>
        <v>642905.42000000004</v>
      </c>
      <c r="CQ33">
        <f t="shared" si="43"/>
        <v>0</v>
      </c>
      <c r="CR33">
        <f>(((((ET33*20))*BB33-((EU33*20))*BS33)+AE33*BS33)*AV33)</f>
        <v>0</v>
      </c>
      <c r="CS33">
        <f t="shared" si="44"/>
        <v>0</v>
      </c>
      <c r="CT33">
        <f t="shared" si="45"/>
        <v>5890.8</v>
      </c>
      <c r="CU33">
        <f t="shared" si="46"/>
        <v>0</v>
      </c>
      <c r="CV33">
        <f t="shared" si="47"/>
        <v>13</v>
      </c>
      <c r="CW33">
        <f t="shared" si="48"/>
        <v>0</v>
      </c>
      <c r="CX33">
        <f t="shared" si="49"/>
        <v>0</v>
      </c>
      <c r="CY33">
        <f t="shared" si="50"/>
        <v>450033.79400000005</v>
      </c>
      <c r="CZ33">
        <f t="shared" si="51"/>
        <v>64290.542000000001</v>
      </c>
      <c r="DC33" t="s">
        <v>3</v>
      </c>
      <c r="DD33" t="s">
        <v>22</v>
      </c>
      <c r="DE33" t="s">
        <v>22</v>
      </c>
      <c r="DF33" t="s">
        <v>22</v>
      </c>
      <c r="DG33" t="s">
        <v>22</v>
      </c>
      <c r="DH33" t="s">
        <v>3</v>
      </c>
      <c r="DI33" t="s">
        <v>22</v>
      </c>
      <c r="DJ33" t="s">
        <v>22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1005</v>
      </c>
      <c r="DV33" t="s">
        <v>29</v>
      </c>
      <c r="DW33" t="s">
        <v>29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80196140</v>
      </c>
      <c r="EF33">
        <v>1</v>
      </c>
      <c r="EG33" t="s">
        <v>23</v>
      </c>
      <c r="EH33">
        <v>0</v>
      </c>
      <c r="EI33" t="s">
        <v>3</v>
      </c>
      <c r="EJ33">
        <v>4</v>
      </c>
      <c r="EK33">
        <v>0</v>
      </c>
      <c r="EL33" t="s">
        <v>24</v>
      </c>
      <c r="EM33" t="s">
        <v>25</v>
      </c>
      <c r="EO33" t="s">
        <v>3</v>
      </c>
      <c r="EQ33">
        <v>0</v>
      </c>
      <c r="ER33">
        <v>294.54000000000002</v>
      </c>
      <c r="ES33">
        <v>0</v>
      </c>
      <c r="ET33">
        <v>0</v>
      </c>
      <c r="EU33">
        <v>0</v>
      </c>
      <c r="EV33">
        <v>294.54000000000002</v>
      </c>
      <c r="EW33">
        <v>0.65</v>
      </c>
      <c r="EX33">
        <v>0</v>
      </c>
      <c r="EY33">
        <v>0</v>
      </c>
      <c r="FQ33">
        <v>0</v>
      </c>
      <c r="FR33"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-476776594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52"/>
        <v>0</v>
      </c>
      <c r="GM33">
        <f t="shared" si="53"/>
        <v>1157229.75</v>
      </c>
      <c r="GN33">
        <f t="shared" si="54"/>
        <v>0</v>
      </c>
      <c r="GO33">
        <f t="shared" si="55"/>
        <v>0</v>
      </c>
      <c r="GP33">
        <f t="shared" si="56"/>
        <v>1157229.75</v>
      </c>
      <c r="GR33">
        <v>0</v>
      </c>
      <c r="GS33">
        <v>3</v>
      </c>
      <c r="GT33">
        <v>0</v>
      </c>
      <c r="GU33" t="s">
        <v>3</v>
      </c>
      <c r="GV33">
        <f t="shared" si="57"/>
        <v>0</v>
      </c>
      <c r="GW33">
        <v>1</v>
      </c>
      <c r="GX33">
        <f t="shared" si="58"/>
        <v>0</v>
      </c>
      <c r="HA33">
        <v>0</v>
      </c>
      <c r="HB33">
        <v>0</v>
      </c>
      <c r="HC33">
        <f t="shared" si="59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HS33">
        <v>0</v>
      </c>
      <c r="IK33">
        <v>0</v>
      </c>
    </row>
    <row r="34" spans="1:245" x14ac:dyDescent="0.25">
      <c r="A34">
        <v>17</v>
      </c>
      <c r="B34">
        <v>1</v>
      </c>
      <c r="C34">
        <f>ROW(SmtRes!A4)</f>
        <v>4</v>
      </c>
      <c r="D34">
        <f>ROW(EtalonRes!A4)</f>
        <v>4</v>
      </c>
      <c r="E34" t="s">
        <v>31</v>
      </c>
      <c r="F34" t="s">
        <v>32</v>
      </c>
      <c r="G34" t="s">
        <v>33</v>
      </c>
      <c r="H34" t="s">
        <v>20</v>
      </c>
      <c r="I34">
        <f>ROUND(43654.88/1000,9)</f>
        <v>43.654879999999999</v>
      </c>
      <c r="J34">
        <v>0</v>
      </c>
      <c r="K34">
        <f>ROUND(43654.88/1000,9)</f>
        <v>43.654879999999999</v>
      </c>
      <c r="O34">
        <f t="shared" si="28"/>
        <v>1035952.13</v>
      </c>
      <c r="P34">
        <f t="shared" si="29"/>
        <v>23922.87</v>
      </c>
      <c r="Q34">
        <f t="shared" si="30"/>
        <v>1012029.26</v>
      </c>
      <c r="R34">
        <f t="shared" si="31"/>
        <v>478348.35</v>
      </c>
      <c r="S34">
        <f t="shared" si="32"/>
        <v>0</v>
      </c>
      <c r="T34">
        <f t="shared" si="33"/>
        <v>0</v>
      </c>
      <c r="U34">
        <f t="shared" si="34"/>
        <v>0</v>
      </c>
      <c r="V34">
        <f t="shared" si="35"/>
        <v>0</v>
      </c>
      <c r="W34">
        <f t="shared" si="36"/>
        <v>0</v>
      </c>
      <c r="X34">
        <f t="shared" si="37"/>
        <v>0</v>
      </c>
      <c r="Y34">
        <f t="shared" si="38"/>
        <v>0</v>
      </c>
      <c r="AA34">
        <v>80891843</v>
      </c>
      <c r="AB34">
        <f t="shared" si="39"/>
        <v>23730.5</v>
      </c>
      <c r="AC34">
        <f>ROUND(((ES34*50)),6)</f>
        <v>548</v>
      </c>
      <c r="AD34">
        <f>ROUND(((((ET34*50))-((EU34*50)))+AE34),6)</f>
        <v>23182.5</v>
      </c>
      <c r="AE34">
        <f>ROUND(((EU34*50)),6)</f>
        <v>10957.5</v>
      </c>
      <c r="AF34">
        <f>ROUND(((EV34*50)),6)</f>
        <v>0</v>
      </c>
      <c r="AG34">
        <f t="shared" si="40"/>
        <v>0</v>
      </c>
      <c r="AH34">
        <f>((EW34*50))</f>
        <v>0</v>
      </c>
      <c r="AI34">
        <f>((EX34*50))</f>
        <v>0</v>
      </c>
      <c r="AJ34">
        <f t="shared" si="41"/>
        <v>0</v>
      </c>
      <c r="AK34">
        <v>474.61</v>
      </c>
      <c r="AL34">
        <v>10.96</v>
      </c>
      <c r="AM34">
        <v>463.65</v>
      </c>
      <c r="AN34">
        <v>219.15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34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2"/>
        <v>1035952.13</v>
      </c>
      <c r="CQ34">
        <f t="shared" si="43"/>
        <v>548</v>
      </c>
      <c r="CR34">
        <f>(((((ET34*50))*BB34-((EU34*50))*BS34)+AE34*BS34)*AV34)</f>
        <v>23182.5</v>
      </c>
      <c r="CS34">
        <f t="shared" si="44"/>
        <v>10957.5</v>
      </c>
      <c r="CT34">
        <f t="shared" si="45"/>
        <v>0</v>
      </c>
      <c r="CU34">
        <f t="shared" si="46"/>
        <v>0</v>
      </c>
      <c r="CV34">
        <f t="shared" si="47"/>
        <v>0</v>
      </c>
      <c r="CW34">
        <f t="shared" si="48"/>
        <v>0</v>
      </c>
      <c r="CX34">
        <f t="shared" si="49"/>
        <v>0</v>
      </c>
      <c r="CY34">
        <f t="shared" si="50"/>
        <v>0</v>
      </c>
      <c r="CZ34">
        <f t="shared" si="51"/>
        <v>0</v>
      </c>
      <c r="DC34" t="s">
        <v>3</v>
      </c>
      <c r="DD34" t="s">
        <v>35</v>
      </c>
      <c r="DE34" t="s">
        <v>35</v>
      </c>
      <c r="DF34" t="s">
        <v>35</v>
      </c>
      <c r="DG34" t="s">
        <v>35</v>
      </c>
      <c r="DH34" t="s">
        <v>3</v>
      </c>
      <c r="DI34" t="s">
        <v>35</v>
      </c>
      <c r="DJ34" t="s">
        <v>35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1005</v>
      </c>
      <c r="DV34" t="s">
        <v>20</v>
      </c>
      <c r="DW34" t="s">
        <v>20</v>
      </c>
      <c r="DX34">
        <v>1000</v>
      </c>
      <c r="DZ34" t="s">
        <v>3</v>
      </c>
      <c r="EA34" t="s">
        <v>3</v>
      </c>
      <c r="EB34" t="s">
        <v>3</v>
      </c>
      <c r="EC34" t="s">
        <v>3</v>
      </c>
      <c r="EE34">
        <v>80196140</v>
      </c>
      <c r="EF34">
        <v>1</v>
      </c>
      <c r="EG34" t="s">
        <v>23</v>
      </c>
      <c r="EH34">
        <v>0</v>
      </c>
      <c r="EI34" t="s">
        <v>3</v>
      </c>
      <c r="EJ34">
        <v>4</v>
      </c>
      <c r="EK34">
        <v>0</v>
      </c>
      <c r="EL34" t="s">
        <v>24</v>
      </c>
      <c r="EM34" t="s">
        <v>25</v>
      </c>
      <c r="EO34" t="s">
        <v>3</v>
      </c>
      <c r="EQ34">
        <v>0</v>
      </c>
      <c r="ER34">
        <v>474.61</v>
      </c>
      <c r="ES34">
        <v>10.96</v>
      </c>
      <c r="ET34">
        <v>463.65</v>
      </c>
      <c r="EU34">
        <v>219.15</v>
      </c>
      <c r="EV34">
        <v>0</v>
      </c>
      <c r="EW34">
        <v>0</v>
      </c>
      <c r="EX34">
        <v>0</v>
      </c>
      <c r="EY34">
        <v>0</v>
      </c>
      <c r="FQ34">
        <v>0</v>
      </c>
      <c r="FR34"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-64890484</v>
      </c>
      <c r="GG34">
        <v>2</v>
      </c>
      <c r="GH34">
        <v>1</v>
      </c>
      <c r="GI34">
        <v>-2</v>
      </c>
      <c r="GJ34">
        <v>0</v>
      </c>
      <c r="GK34">
        <f>ROUND(R34*(R12)/100,2)</f>
        <v>516616.22</v>
      </c>
      <c r="GL34">
        <f t="shared" si="52"/>
        <v>0</v>
      </c>
      <c r="GM34">
        <f t="shared" si="53"/>
        <v>1552568.35</v>
      </c>
      <c r="GN34">
        <f t="shared" si="54"/>
        <v>0</v>
      </c>
      <c r="GO34">
        <f t="shared" si="55"/>
        <v>0</v>
      </c>
      <c r="GP34">
        <f t="shared" si="56"/>
        <v>1552568.35</v>
      </c>
      <c r="GR34">
        <v>0</v>
      </c>
      <c r="GS34">
        <v>3</v>
      </c>
      <c r="GT34">
        <v>0</v>
      </c>
      <c r="GU34" t="s">
        <v>3</v>
      </c>
      <c r="GV34">
        <f t="shared" si="57"/>
        <v>0</v>
      </c>
      <c r="GW34">
        <v>1</v>
      </c>
      <c r="GX34">
        <f t="shared" si="58"/>
        <v>0</v>
      </c>
      <c r="HA34">
        <v>0</v>
      </c>
      <c r="HB34">
        <v>0</v>
      </c>
      <c r="HC34">
        <f t="shared" si="59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HS34">
        <v>0</v>
      </c>
      <c r="IK34">
        <v>0</v>
      </c>
    </row>
    <row r="35" spans="1:245" x14ac:dyDescent="0.25">
      <c r="A35">
        <v>18</v>
      </c>
      <c r="B35">
        <v>1</v>
      </c>
      <c r="C35">
        <v>4</v>
      </c>
      <c r="E35" t="s">
        <v>36</v>
      </c>
      <c r="F35" t="s">
        <v>37</v>
      </c>
      <c r="G35" t="s">
        <v>38</v>
      </c>
      <c r="H35" t="s">
        <v>39</v>
      </c>
      <c r="I35">
        <f>I34*J35</f>
        <v>-436.54880000000009</v>
      </c>
      <c r="J35">
        <v>-10.000000000000002</v>
      </c>
      <c r="K35">
        <v>-0.2</v>
      </c>
      <c r="O35">
        <f t="shared" si="28"/>
        <v>-23927.24</v>
      </c>
      <c r="P35">
        <f t="shared" si="29"/>
        <v>-23927.24</v>
      </c>
      <c r="Q35">
        <f t="shared" si="30"/>
        <v>0</v>
      </c>
      <c r="R35">
        <f t="shared" si="31"/>
        <v>0</v>
      </c>
      <c r="S35">
        <f t="shared" si="32"/>
        <v>0</v>
      </c>
      <c r="T35">
        <f t="shared" si="33"/>
        <v>0</v>
      </c>
      <c r="U35">
        <f t="shared" si="34"/>
        <v>0</v>
      </c>
      <c r="V35">
        <f t="shared" si="35"/>
        <v>0</v>
      </c>
      <c r="W35">
        <f t="shared" si="36"/>
        <v>0</v>
      </c>
      <c r="X35">
        <f t="shared" si="37"/>
        <v>0</v>
      </c>
      <c r="Y35">
        <f t="shared" si="38"/>
        <v>0</v>
      </c>
      <c r="AA35">
        <v>80891843</v>
      </c>
      <c r="AB35">
        <f t="shared" si="39"/>
        <v>54.81</v>
      </c>
      <c r="AC35">
        <f>ROUND((ES35),6)</f>
        <v>54.81</v>
      </c>
      <c r="AD35">
        <f>ROUND((((ET35)-(EU35))+AE35),6)</f>
        <v>0</v>
      </c>
      <c r="AE35">
        <f>ROUND((EU35),6)</f>
        <v>0</v>
      </c>
      <c r="AF35">
        <f>ROUND((EV35),6)</f>
        <v>0</v>
      </c>
      <c r="AG35">
        <f t="shared" si="40"/>
        <v>0</v>
      </c>
      <c r="AH35">
        <f>(EW35)</f>
        <v>0</v>
      </c>
      <c r="AI35">
        <f>(EX35)</f>
        <v>0</v>
      </c>
      <c r="AJ35">
        <f t="shared" si="41"/>
        <v>0</v>
      </c>
      <c r="AK35">
        <v>54.81</v>
      </c>
      <c r="AL35">
        <v>54.81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3</v>
      </c>
      <c r="BI35">
        <v>4</v>
      </c>
      <c r="BJ35" t="s">
        <v>40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1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2"/>
        <v>-23927.24</v>
      </c>
      <c r="CQ35">
        <f t="shared" si="43"/>
        <v>54.81</v>
      </c>
      <c r="CR35">
        <f>((((ET35)*BB35-(EU35)*BS35)+AE35*BS35)*AV35)</f>
        <v>0</v>
      </c>
      <c r="CS35">
        <f t="shared" si="44"/>
        <v>0</v>
      </c>
      <c r="CT35">
        <f t="shared" si="45"/>
        <v>0</v>
      </c>
      <c r="CU35">
        <f t="shared" si="46"/>
        <v>0</v>
      </c>
      <c r="CV35">
        <f t="shared" si="47"/>
        <v>0</v>
      </c>
      <c r="CW35">
        <f t="shared" si="48"/>
        <v>0</v>
      </c>
      <c r="CX35">
        <f t="shared" si="49"/>
        <v>0</v>
      </c>
      <c r="CY35">
        <f t="shared" si="50"/>
        <v>0</v>
      </c>
      <c r="CZ35">
        <f t="shared" si="51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1007</v>
      </c>
      <c r="DV35" t="s">
        <v>39</v>
      </c>
      <c r="DW35" t="s">
        <v>39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80196140</v>
      </c>
      <c r="EF35">
        <v>1</v>
      </c>
      <c r="EG35" t="s">
        <v>23</v>
      </c>
      <c r="EH35">
        <v>0</v>
      </c>
      <c r="EI35" t="s">
        <v>3</v>
      </c>
      <c r="EJ35">
        <v>4</v>
      </c>
      <c r="EK35">
        <v>0</v>
      </c>
      <c r="EL35" t="s">
        <v>24</v>
      </c>
      <c r="EM35" t="s">
        <v>25</v>
      </c>
      <c r="EO35" t="s">
        <v>3</v>
      </c>
      <c r="EQ35">
        <v>32768</v>
      </c>
      <c r="ER35">
        <v>54.81</v>
      </c>
      <c r="ES35">
        <v>54.81</v>
      </c>
      <c r="ET35">
        <v>0</v>
      </c>
      <c r="EU35">
        <v>0</v>
      </c>
      <c r="EV35">
        <v>0</v>
      </c>
      <c r="EW35">
        <v>0</v>
      </c>
      <c r="EX35">
        <v>0</v>
      </c>
      <c r="FQ35">
        <v>0</v>
      </c>
      <c r="FR35"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2112060389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 t="shared" si="52"/>
        <v>0</v>
      </c>
      <c r="GM35">
        <f t="shared" si="53"/>
        <v>-23927.24</v>
      </c>
      <c r="GN35">
        <f t="shared" si="54"/>
        <v>0</v>
      </c>
      <c r="GO35">
        <f t="shared" si="55"/>
        <v>0</v>
      </c>
      <c r="GP35">
        <f t="shared" si="56"/>
        <v>-23927.24</v>
      </c>
      <c r="GR35">
        <v>0</v>
      </c>
      <c r="GS35">
        <v>3</v>
      </c>
      <c r="GT35">
        <v>0</v>
      </c>
      <c r="GU35" t="s">
        <v>3</v>
      </c>
      <c r="GV35">
        <f t="shared" si="57"/>
        <v>0</v>
      </c>
      <c r="GW35">
        <v>1</v>
      </c>
      <c r="GX35">
        <f t="shared" si="58"/>
        <v>0</v>
      </c>
      <c r="HA35">
        <v>0</v>
      </c>
      <c r="HB35">
        <v>0</v>
      </c>
      <c r="HC35">
        <f t="shared" si="59"/>
        <v>0</v>
      </c>
      <c r="HE35" t="s">
        <v>3</v>
      </c>
      <c r="HF35" t="s">
        <v>3</v>
      </c>
      <c r="HM35" t="s">
        <v>35</v>
      </c>
      <c r="HN35" t="s">
        <v>3</v>
      </c>
      <c r="HO35" t="s">
        <v>3</v>
      </c>
      <c r="HP35" t="s">
        <v>3</v>
      </c>
      <c r="HQ35" t="s">
        <v>3</v>
      </c>
      <c r="HS35">
        <v>0</v>
      </c>
      <c r="IK35">
        <v>0</v>
      </c>
    </row>
    <row r="36" spans="1:245" x14ac:dyDescent="0.25">
      <c r="A36">
        <v>17</v>
      </c>
      <c r="B36">
        <v>1</v>
      </c>
      <c r="C36">
        <f>ROW(SmtRes!A5)</f>
        <v>5</v>
      </c>
      <c r="D36">
        <f>ROW(EtalonRes!A5)</f>
        <v>5</v>
      </c>
      <c r="E36" t="s">
        <v>41</v>
      </c>
      <c r="F36" t="s">
        <v>42</v>
      </c>
      <c r="G36" t="s">
        <v>43</v>
      </c>
      <c r="H36" t="s">
        <v>29</v>
      </c>
      <c r="I36">
        <v>109.13720000000001</v>
      </c>
      <c r="J36">
        <v>0</v>
      </c>
      <c r="K36">
        <v>109.13720000000001</v>
      </c>
      <c r="O36">
        <f t="shared" si="28"/>
        <v>346183.2</v>
      </c>
      <c r="P36">
        <f t="shared" si="29"/>
        <v>0</v>
      </c>
      <c r="Q36">
        <f t="shared" si="30"/>
        <v>0</v>
      </c>
      <c r="R36">
        <f t="shared" si="31"/>
        <v>0</v>
      </c>
      <c r="S36">
        <f t="shared" si="32"/>
        <v>346183.2</v>
      </c>
      <c r="T36">
        <f t="shared" si="33"/>
        <v>0</v>
      </c>
      <c r="U36">
        <f t="shared" si="34"/>
        <v>763.96040000000016</v>
      </c>
      <c r="V36">
        <f t="shared" si="35"/>
        <v>0</v>
      </c>
      <c r="W36">
        <f t="shared" si="36"/>
        <v>0</v>
      </c>
      <c r="X36">
        <f t="shared" si="37"/>
        <v>242328.24</v>
      </c>
      <c r="Y36">
        <f t="shared" si="38"/>
        <v>34618.32</v>
      </c>
      <c r="AA36">
        <v>80891843</v>
      </c>
      <c r="AB36">
        <f t="shared" si="39"/>
        <v>3172</v>
      </c>
      <c r="AC36">
        <f>ROUND(((ES36*50)),6)</f>
        <v>0</v>
      </c>
      <c r="AD36">
        <f>ROUND(((((ET36*50))-((EU36*50)))+AE36),6)</f>
        <v>0</v>
      </c>
      <c r="AE36">
        <f>ROUND(((EU36*50)),6)</f>
        <v>0</v>
      </c>
      <c r="AF36">
        <f>ROUND(((EV36*50)),6)</f>
        <v>3172</v>
      </c>
      <c r="AG36">
        <f t="shared" si="40"/>
        <v>0</v>
      </c>
      <c r="AH36">
        <f>((EW36*50))</f>
        <v>7.0000000000000009</v>
      </c>
      <c r="AI36">
        <f>((EX36*50))</f>
        <v>0</v>
      </c>
      <c r="AJ36">
        <f t="shared" si="41"/>
        <v>0</v>
      </c>
      <c r="AK36">
        <v>63.44</v>
      </c>
      <c r="AL36">
        <v>0</v>
      </c>
      <c r="AM36">
        <v>0</v>
      </c>
      <c r="AN36">
        <v>0</v>
      </c>
      <c r="AO36">
        <v>63.44</v>
      </c>
      <c r="AP36">
        <v>0</v>
      </c>
      <c r="AQ36">
        <v>0.14000000000000001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44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2"/>
        <v>346183.2</v>
      </c>
      <c r="CQ36">
        <f t="shared" si="43"/>
        <v>0</v>
      </c>
      <c r="CR36">
        <f>(((((ET36*50))*BB36-((EU36*50))*BS36)+AE36*BS36)*AV36)</f>
        <v>0</v>
      </c>
      <c r="CS36">
        <f t="shared" si="44"/>
        <v>0</v>
      </c>
      <c r="CT36">
        <f t="shared" si="45"/>
        <v>3172</v>
      </c>
      <c r="CU36">
        <f t="shared" si="46"/>
        <v>0</v>
      </c>
      <c r="CV36">
        <f t="shared" si="47"/>
        <v>7.0000000000000009</v>
      </c>
      <c r="CW36">
        <f t="shared" si="48"/>
        <v>0</v>
      </c>
      <c r="CX36">
        <f t="shared" si="49"/>
        <v>0</v>
      </c>
      <c r="CY36">
        <f t="shared" si="50"/>
        <v>242328.24</v>
      </c>
      <c r="CZ36">
        <f t="shared" si="51"/>
        <v>34618.32</v>
      </c>
      <c r="DC36" t="s">
        <v>3</v>
      </c>
      <c r="DD36" t="s">
        <v>35</v>
      </c>
      <c r="DE36" t="s">
        <v>35</v>
      </c>
      <c r="DF36" t="s">
        <v>35</v>
      </c>
      <c r="DG36" t="s">
        <v>35</v>
      </c>
      <c r="DH36" t="s">
        <v>3</v>
      </c>
      <c r="DI36" t="s">
        <v>35</v>
      </c>
      <c r="DJ36" t="s">
        <v>35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1005</v>
      </c>
      <c r="DV36" t="s">
        <v>29</v>
      </c>
      <c r="DW36" t="s">
        <v>29</v>
      </c>
      <c r="DX36">
        <v>100</v>
      </c>
      <c r="DZ36" t="s">
        <v>3</v>
      </c>
      <c r="EA36" t="s">
        <v>3</v>
      </c>
      <c r="EB36" t="s">
        <v>3</v>
      </c>
      <c r="EC36" t="s">
        <v>3</v>
      </c>
      <c r="EE36">
        <v>80196140</v>
      </c>
      <c r="EF36">
        <v>1</v>
      </c>
      <c r="EG36" t="s">
        <v>23</v>
      </c>
      <c r="EH36">
        <v>0</v>
      </c>
      <c r="EI36" t="s">
        <v>3</v>
      </c>
      <c r="EJ36">
        <v>4</v>
      </c>
      <c r="EK36">
        <v>0</v>
      </c>
      <c r="EL36" t="s">
        <v>24</v>
      </c>
      <c r="EM36" t="s">
        <v>25</v>
      </c>
      <c r="EO36" t="s">
        <v>3</v>
      </c>
      <c r="EQ36">
        <v>0</v>
      </c>
      <c r="ER36">
        <v>63.44</v>
      </c>
      <c r="ES36">
        <v>0</v>
      </c>
      <c r="ET36">
        <v>0</v>
      </c>
      <c r="EU36">
        <v>0</v>
      </c>
      <c r="EV36">
        <v>63.44</v>
      </c>
      <c r="EW36">
        <v>0.14000000000000001</v>
      </c>
      <c r="EX36">
        <v>0</v>
      </c>
      <c r="EY36">
        <v>0</v>
      </c>
      <c r="FQ36">
        <v>0</v>
      </c>
      <c r="FR36"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-502436687</v>
      </c>
      <c r="GG36">
        <v>2</v>
      </c>
      <c r="GH36">
        <v>1</v>
      </c>
      <c r="GI36">
        <v>-2</v>
      </c>
      <c r="GJ36">
        <v>0</v>
      </c>
      <c r="GK36">
        <f>ROUND(R36*(R12)/100,2)</f>
        <v>0</v>
      </c>
      <c r="GL36">
        <f t="shared" si="52"/>
        <v>0</v>
      </c>
      <c r="GM36">
        <f t="shared" si="53"/>
        <v>623129.76</v>
      </c>
      <c r="GN36">
        <f t="shared" si="54"/>
        <v>0</v>
      </c>
      <c r="GO36">
        <f t="shared" si="55"/>
        <v>0</v>
      </c>
      <c r="GP36">
        <f t="shared" si="56"/>
        <v>623129.76</v>
      </c>
      <c r="GR36">
        <v>0</v>
      </c>
      <c r="GS36">
        <v>3</v>
      </c>
      <c r="GT36">
        <v>0</v>
      </c>
      <c r="GU36" t="s">
        <v>3</v>
      </c>
      <c r="GV36">
        <f t="shared" si="57"/>
        <v>0</v>
      </c>
      <c r="GW36">
        <v>1</v>
      </c>
      <c r="GX36">
        <f t="shared" si="58"/>
        <v>0</v>
      </c>
      <c r="HA36">
        <v>0</v>
      </c>
      <c r="HB36">
        <v>0</v>
      </c>
      <c r="HC36">
        <f t="shared" si="59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HS36">
        <v>0</v>
      </c>
      <c r="IK36">
        <v>0</v>
      </c>
    </row>
    <row r="37" spans="1:245" x14ac:dyDescent="0.25">
      <c r="A37">
        <v>17</v>
      </c>
      <c r="B37">
        <v>1</v>
      </c>
      <c r="C37">
        <f>ROW(SmtRes!A7)</f>
        <v>7</v>
      </c>
      <c r="D37">
        <f>ROW(EtalonRes!A7)</f>
        <v>7</v>
      </c>
      <c r="E37" t="s">
        <v>45</v>
      </c>
      <c r="F37" t="s">
        <v>46</v>
      </c>
      <c r="G37" t="s">
        <v>47</v>
      </c>
      <c r="H37" t="s">
        <v>29</v>
      </c>
      <c r="I37">
        <v>109.13720000000001</v>
      </c>
      <c r="J37">
        <v>0</v>
      </c>
      <c r="K37">
        <v>109.13720000000001</v>
      </c>
      <c r="O37">
        <f t="shared" si="28"/>
        <v>446000.08</v>
      </c>
      <c r="P37">
        <f t="shared" si="29"/>
        <v>223458.42</v>
      </c>
      <c r="Q37">
        <f t="shared" si="30"/>
        <v>0</v>
      </c>
      <c r="R37">
        <f t="shared" si="31"/>
        <v>0</v>
      </c>
      <c r="S37">
        <f t="shared" si="32"/>
        <v>222541.66</v>
      </c>
      <c r="T37">
        <f t="shared" si="33"/>
        <v>0</v>
      </c>
      <c r="U37">
        <f t="shared" si="34"/>
        <v>491.11740000000003</v>
      </c>
      <c r="V37">
        <f t="shared" si="35"/>
        <v>0</v>
      </c>
      <c r="W37">
        <f t="shared" si="36"/>
        <v>0</v>
      </c>
      <c r="X37">
        <f t="shared" si="37"/>
        <v>155779.16</v>
      </c>
      <c r="Y37">
        <f t="shared" si="38"/>
        <v>22254.17</v>
      </c>
      <c r="AA37">
        <v>80891843</v>
      </c>
      <c r="AB37">
        <f t="shared" si="39"/>
        <v>4086.6</v>
      </c>
      <c r="AC37">
        <f>ROUND(((ES37*15)),6)</f>
        <v>2047.5</v>
      </c>
      <c r="AD37">
        <f>ROUND(((((ET37*15))-((EU37*15)))+AE37),6)</f>
        <v>0</v>
      </c>
      <c r="AE37">
        <f>ROUND(((EU37*15)),6)</f>
        <v>0</v>
      </c>
      <c r="AF37">
        <f>ROUND(((EV37*15)),6)</f>
        <v>2039.1</v>
      </c>
      <c r="AG37">
        <f t="shared" si="40"/>
        <v>0</v>
      </c>
      <c r="AH37">
        <f>((EW37*15))</f>
        <v>4.5</v>
      </c>
      <c r="AI37">
        <f>((EX37*15))</f>
        <v>0</v>
      </c>
      <c r="AJ37">
        <f t="shared" si="41"/>
        <v>0</v>
      </c>
      <c r="AK37">
        <v>272.44</v>
      </c>
      <c r="AL37">
        <v>136.5</v>
      </c>
      <c r="AM37">
        <v>0</v>
      </c>
      <c r="AN37">
        <v>0</v>
      </c>
      <c r="AO37">
        <v>135.94</v>
      </c>
      <c r="AP37">
        <v>0</v>
      </c>
      <c r="AQ37">
        <v>0.3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48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2"/>
        <v>446000.08</v>
      </c>
      <c r="CQ37">
        <f t="shared" si="43"/>
        <v>2047.5</v>
      </c>
      <c r="CR37">
        <f>(((((ET37*15))*BB37-((EU37*15))*BS37)+AE37*BS37)*AV37)</f>
        <v>0</v>
      </c>
      <c r="CS37">
        <f t="shared" si="44"/>
        <v>0</v>
      </c>
      <c r="CT37">
        <f t="shared" si="45"/>
        <v>2039.1</v>
      </c>
      <c r="CU37">
        <f t="shared" si="46"/>
        <v>0</v>
      </c>
      <c r="CV37">
        <f t="shared" si="47"/>
        <v>4.5</v>
      </c>
      <c r="CW37">
        <f t="shared" si="48"/>
        <v>0</v>
      </c>
      <c r="CX37">
        <f t="shared" si="49"/>
        <v>0</v>
      </c>
      <c r="CY37">
        <f t="shared" si="50"/>
        <v>155779.16200000001</v>
      </c>
      <c r="CZ37">
        <f t="shared" si="51"/>
        <v>22254.166000000001</v>
      </c>
      <c r="DC37" t="s">
        <v>3</v>
      </c>
      <c r="DD37" t="s">
        <v>49</v>
      </c>
      <c r="DE37" t="s">
        <v>49</v>
      </c>
      <c r="DF37" t="s">
        <v>49</v>
      </c>
      <c r="DG37" t="s">
        <v>49</v>
      </c>
      <c r="DH37" t="s">
        <v>3</v>
      </c>
      <c r="DI37" t="s">
        <v>49</v>
      </c>
      <c r="DJ37" t="s">
        <v>49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1005</v>
      </c>
      <c r="DV37" t="s">
        <v>29</v>
      </c>
      <c r="DW37" t="s">
        <v>29</v>
      </c>
      <c r="DX37">
        <v>100</v>
      </c>
      <c r="DZ37" t="s">
        <v>3</v>
      </c>
      <c r="EA37" t="s">
        <v>3</v>
      </c>
      <c r="EB37" t="s">
        <v>3</v>
      </c>
      <c r="EC37" t="s">
        <v>3</v>
      </c>
      <c r="EE37">
        <v>80196140</v>
      </c>
      <c r="EF37">
        <v>1</v>
      </c>
      <c r="EG37" t="s">
        <v>23</v>
      </c>
      <c r="EH37">
        <v>0</v>
      </c>
      <c r="EI37" t="s">
        <v>3</v>
      </c>
      <c r="EJ37">
        <v>4</v>
      </c>
      <c r="EK37">
        <v>0</v>
      </c>
      <c r="EL37" t="s">
        <v>24</v>
      </c>
      <c r="EM37" t="s">
        <v>25</v>
      </c>
      <c r="EO37" t="s">
        <v>3</v>
      </c>
      <c r="EQ37">
        <v>0</v>
      </c>
      <c r="ER37">
        <v>272.44</v>
      </c>
      <c r="ES37">
        <v>136.5</v>
      </c>
      <c r="ET37">
        <v>0</v>
      </c>
      <c r="EU37">
        <v>0</v>
      </c>
      <c r="EV37">
        <v>135.94</v>
      </c>
      <c r="EW37">
        <v>0.3</v>
      </c>
      <c r="EX37">
        <v>0</v>
      </c>
      <c r="EY37">
        <v>0</v>
      </c>
      <c r="FQ37">
        <v>0</v>
      </c>
      <c r="FR37"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-722105518</v>
      </c>
      <c r="GG37">
        <v>2</v>
      </c>
      <c r="GH37">
        <v>1</v>
      </c>
      <c r="GI37">
        <v>-2</v>
      </c>
      <c r="GJ37">
        <v>0</v>
      </c>
      <c r="GK37">
        <f>ROUND(R37*(R12)/100,2)</f>
        <v>0</v>
      </c>
      <c r="GL37">
        <f t="shared" si="52"/>
        <v>0</v>
      </c>
      <c r="GM37">
        <f t="shared" si="53"/>
        <v>624033.41</v>
      </c>
      <c r="GN37">
        <f t="shared" si="54"/>
        <v>0</v>
      </c>
      <c r="GO37">
        <f t="shared" si="55"/>
        <v>0</v>
      </c>
      <c r="GP37">
        <f t="shared" si="56"/>
        <v>624033.41</v>
      </c>
      <c r="GR37">
        <v>0</v>
      </c>
      <c r="GS37">
        <v>3</v>
      </c>
      <c r="GT37">
        <v>0</v>
      </c>
      <c r="GU37" t="s">
        <v>3</v>
      </c>
      <c r="GV37">
        <f t="shared" si="57"/>
        <v>0</v>
      </c>
      <c r="GW37">
        <v>1</v>
      </c>
      <c r="GX37">
        <f t="shared" si="58"/>
        <v>0</v>
      </c>
      <c r="HA37">
        <v>0</v>
      </c>
      <c r="HB37">
        <v>0</v>
      </c>
      <c r="HC37">
        <f t="shared" si="59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HS37">
        <v>0</v>
      </c>
      <c r="IK37">
        <v>0</v>
      </c>
    </row>
    <row r="38" spans="1:245" x14ac:dyDescent="0.25">
      <c r="A38">
        <v>17</v>
      </c>
      <c r="B38">
        <v>1</v>
      </c>
      <c r="C38">
        <f>ROW(SmtRes!A10)</f>
        <v>10</v>
      </c>
      <c r="D38">
        <f>ROW(EtalonRes!A10)</f>
        <v>10</v>
      </c>
      <c r="E38" t="s">
        <v>50</v>
      </c>
      <c r="F38" t="s">
        <v>51</v>
      </c>
      <c r="G38" t="s">
        <v>52</v>
      </c>
      <c r="H38" t="s">
        <v>20</v>
      </c>
      <c r="I38">
        <v>43.654879999999999</v>
      </c>
      <c r="J38">
        <v>0</v>
      </c>
      <c r="K38">
        <v>43.654879999999999</v>
      </c>
      <c r="O38">
        <f t="shared" si="28"/>
        <v>1003922.55</v>
      </c>
      <c r="P38">
        <f t="shared" si="29"/>
        <v>893833.67</v>
      </c>
      <c r="Q38">
        <f t="shared" si="30"/>
        <v>104156.18</v>
      </c>
      <c r="R38">
        <f t="shared" si="31"/>
        <v>43945.18</v>
      </c>
      <c r="S38">
        <f t="shared" si="32"/>
        <v>5932.7</v>
      </c>
      <c r="T38">
        <f t="shared" si="33"/>
        <v>0</v>
      </c>
      <c r="U38">
        <f t="shared" si="34"/>
        <v>13.096463999999999</v>
      </c>
      <c r="V38">
        <f t="shared" si="35"/>
        <v>0</v>
      </c>
      <c r="W38">
        <f t="shared" si="36"/>
        <v>0</v>
      </c>
      <c r="X38">
        <f t="shared" si="37"/>
        <v>4152.8900000000003</v>
      </c>
      <c r="Y38">
        <f t="shared" si="38"/>
        <v>593.27</v>
      </c>
      <c r="AA38">
        <v>80891843</v>
      </c>
      <c r="AB38">
        <f t="shared" si="39"/>
        <v>22996.799999999999</v>
      </c>
      <c r="AC38">
        <f>ROUND(((ES38*15)),6)</f>
        <v>20475</v>
      </c>
      <c r="AD38">
        <f>ROUND(((((ET38*15))-((EU38*15)))+AE38),6)</f>
        <v>2385.9</v>
      </c>
      <c r="AE38">
        <f>ROUND(((EU38*15)),6)</f>
        <v>1006.65</v>
      </c>
      <c r="AF38">
        <f>ROUND(((EV38*15)),6)</f>
        <v>135.9</v>
      </c>
      <c r="AG38">
        <f t="shared" si="40"/>
        <v>0</v>
      </c>
      <c r="AH38">
        <f>((EW38*15))</f>
        <v>0.3</v>
      </c>
      <c r="AI38">
        <f>((EX38*15))</f>
        <v>0</v>
      </c>
      <c r="AJ38">
        <f t="shared" si="41"/>
        <v>0</v>
      </c>
      <c r="AK38">
        <v>1533.12</v>
      </c>
      <c r="AL38">
        <v>1365</v>
      </c>
      <c r="AM38">
        <v>159.06</v>
      </c>
      <c r="AN38">
        <v>67.11</v>
      </c>
      <c r="AO38">
        <v>9.06</v>
      </c>
      <c r="AP38">
        <v>0</v>
      </c>
      <c r="AQ38">
        <v>0.02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53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2"/>
        <v>1003922.55</v>
      </c>
      <c r="CQ38">
        <f t="shared" si="43"/>
        <v>20475</v>
      </c>
      <c r="CR38">
        <f>(((((ET38*15))*BB38-((EU38*15))*BS38)+AE38*BS38)*AV38)</f>
        <v>2385.9</v>
      </c>
      <c r="CS38">
        <f t="shared" si="44"/>
        <v>1006.65</v>
      </c>
      <c r="CT38">
        <f t="shared" si="45"/>
        <v>135.9</v>
      </c>
      <c r="CU38">
        <f t="shared" si="46"/>
        <v>0</v>
      </c>
      <c r="CV38">
        <f t="shared" si="47"/>
        <v>0.3</v>
      </c>
      <c r="CW38">
        <f t="shared" si="48"/>
        <v>0</v>
      </c>
      <c r="CX38">
        <f t="shared" si="49"/>
        <v>0</v>
      </c>
      <c r="CY38">
        <f t="shared" si="50"/>
        <v>4152.8900000000003</v>
      </c>
      <c r="CZ38">
        <f t="shared" si="51"/>
        <v>593.27</v>
      </c>
      <c r="DC38" t="s">
        <v>3</v>
      </c>
      <c r="DD38" t="s">
        <v>49</v>
      </c>
      <c r="DE38" t="s">
        <v>49</v>
      </c>
      <c r="DF38" t="s">
        <v>49</v>
      </c>
      <c r="DG38" t="s">
        <v>49</v>
      </c>
      <c r="DH38" t="s">
        <v>3</v>
      </c>
      <c r="DI38" t="s">
        <v>49</v>
      </c>
      <c r="DJ38" t="s">
        <v>49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1005</v>
      </c>
      <c r="DV38" t="s">
        <v>20</v>
      </c>
      <c r="DW38" t="s">
        <v>20</v>
      </c>
      <c r="DX38">
        <v>1000</v>
      </c>
      <c r="DZ38" t="s">
        <v>3</v>
      </c>
      <c r="EA38" t="s">
        <v>3</v>
      </c>
      <c r="EB38" t="s">
        <v>3</v>
      </c>
      <c r="EC38" t="s">
        <v>3</v>
      </c>
      <c r="EE38">
        <v>80196140</v>
      </c>
      <c r="EF38">
        <v>1</v>
      </c>
      <c r="EG38" t="s">
        <v>23</v>
      </c>
      <c r="EH38">
        <v>0</v>
      </c>
      <c r="EI38" t="s">
        <v>3</v>
      </c>
      <c r="EJ38">
        <v>4</v>
      </c>
      <c r="EK38">
        <v>0</v>
      </c>
      <c r="EL38" t="s">
        <v>24</v>
      </c>
      <c r="EM38" t="s">
        <v>25</v>
      </c>
      <c r="EO38" t="s">
        <v>3</v>
      </c>
      <c r="EQ38">
        <v>0</v>
      </c>
      <c r="ER38">
        <v>1533.12</v>
      </c>
      <c r="ES38">
        <v>1365</v>
      </c>
      <c r="ET38">
        <v>159.06</v>
      </c>
      <c r="EU38">
        <v>67.11</v>
      </c>
      <c r="EV38">
        <v>9.06</v>
      </c>
      <c r="EW38">
        <v>0.02</v>
      </c>
      <c r="EX38">
        <v>0</v>
      </c>
      <c r="EY38">
        <v>0</v>
      </c>
      <c r="FQ38">
        <v>0</v>
      </c>
      <c r="FR38">
        <v>0</v>
      </c>
      <c r="FS38">
        <v>0</v>
      </c>
      <c r="FX38">
        <v>70</v>
      </c>
      <c r="FY38">
        <v>10</v>
      </c>
      <c r="GA38" t="s">
        <v>3</v>
      </c>
      <c r="GD38">
        <v>0</v>
      </c>
      <c r="GF38">
        <v>-905148242</v>
      </c>
      <c r="GG38">
        <v>2</v>
      </c>
      <c r="GH38">
        <v>1</v>
      </c>
      <c r="GI38">
        <v>-2</v>
      </c>
      <c r="GJ38">
        <v>0</v>
      </c>
      <c r="GK38">
        <f>ROUND(R38*(R12)/100,2)</f>
        <v>47460.79</v>
      </c>
      <c r="GL38">
        <f t="shared" si="52"/>
        <v>0</v>
      </c>
      <c r="GM38">
        <f t="shared" si="53"/>
        <v>1056129.5</v>
      </c>
      <c r="GN38">
        <f t="shared" si="54"/>
        <v>0</v>
      </c>
      <c r="GO38">
        <f t="shared" si="55"/>
        <v>0</v>
      </c>
      <c r="GP38">
        <f t="shared" si="56"/>
        <v>1056129.5</v>
      </c>
      <c r="GR38">
        <v>0</v>
      </c>
      <c r="GS38">
        <v>3</v>
      </c>
      <c r="GT38">
        <v>0</v>
      </c>
      <c r="GU38" t="s">
        <v>3</v>
      </c>
      <c r="GV38">
        <f t="shared" si="57"/>
        <v>0</v>
      </c>
      <c r="GW38">
        <v>1</v>
      </c>
      <c r="GX38">
        <f t="shared" si="58"/>
        <v>0</v>
      </c>
      <c r="HA38">
        <v>0</v>
      </c>
      <c r="HB38">
        <v>0</v>
      </c>
      <c r="HC38">
        <f t="shared" si="59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HS38">
        <v>0</v>
      </c>
      <c r="IK38">
        <v>0</v>
      </c>
    </row>
    <row r="39" spans="1:245" x14ac:dyDescent="0.25">
      <c r="A39">
        <v>17</v>
      </c>
      <c r="B39">
        <v>1</v>
      </c>
      <c r="C39">
        <f>ROW(SmtRes!A11)</f>
        <v>11</v>
      </c>
      <c r="D39">
        <f>ROW(EtalonRes!A11)</f>
        <v>11</v>
      </c>
      <c r="E39" t="s">
        <v>54</v>
      </c>
      <c r="F39" t="s">
        <v>55</v>
      </c>
      <c r="G39" t="s">
        <v>56</v>
      </c>
      <c r="H39" t="s">
        <v>29</v>
      </c>
      <c r="I39">
        <v>5.4569000000000001</v>
      </c>
      <c r="J39">
        <v>0</v>
      </c>
      <c r="K39">
        <v>5.4569000000000001</v>
      </c>
      <c r="O39">
        <f t="shared" si="28"/>
        <v>29796.58</v>
      </c>
      <c r="P39">
        <f t="shared" si="29"/>
        <v>0</v>
      </c>
      <c r="Q39">
        <f t="shared" si="30"/>
        <v>0</v>
      </c>
      <c r="R39">
        <f t="shared" si="31"/>
        <v>0</v>
      </c>
      <c r="S39">
        <f t="shared" si="32"/>
        <v>29796.58</v>
      </c>
      <c r="T39">
        <f t="shared" si="33"/>
        <v>0</v>
      </c>
      <c r="U39">
        <f t="shared" si="34"/>
        <v>65.755645000000001</v>
      </c>
      <c r="V39">
        <f t="shared" si="35"/>
        <v>0</v>
      </c>
      <c r="W39">
        <f t="shared" si="36"/>
        <v>0</v>
      </c>
      <c r="X39">
        <f t="shared" si="37"/>
        <v>20857.61</v>
      </c>
      <c r="Y39">
        <f t="shared" si="38"/>
        <v>2979.66</v>
      </c>
      <c r="AA39">
        <v>80891843</v>
      </c>
      <c r="AB39">
        <f t="shared" si="39"/>
        <v>5460.35</v>
      </c>
      <c r="AC39">
        <f>ROUND(((ES39*5)),6)</f>
        <v>0</v>
      </c>
      <c r="AD39">
        <f>ROUND(((((ET39*5))-((EU39*5)))+AE39),6)</f>
        <v>0</v>
      </c>
      <c r="AE39">
        <f>ROUND(((EU39*5)),6)</f>
        <v>0</v>
      </c>
      <c r="AF39">
        <f>ROUND(((EV39*5)),6)</f>
        <v>5460.35</v>
      </c>
      <c r="AG39">
        <f t="shared" si="40"/>
        <v>0</v>
      </c>
      <c r="AH39">
        <f>((EW39*5))</f>
        <v>12.05</v>
      </c>
      <c r="AI39">
        <f>((EX39*5))</f>
        <v>0</v>
      </c>
      <c r="AJ39">
        <f t="shared" si="41"/>
        <v>0</v>
      </c>
      <c r="AK39">
        <v>1092.07</v>
      </c>
      <c r="AL39">
        <v>0</v>
      </c>
      <c r="AM39">
        <v>0</v>
      </c>
      <c r="AN39">
        <v>0</v>
      </c>
      <c r="AO39">
        <v>1092.07</v>
      </c>
      <c r="AP39">
        <v>0</v>
      </c>
      <c r="AQ39">
        <v>2.41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4</v>
      </c>
      <c r="BJ39" t="s">
        <v>57</v>
      </c>
      <c r="BM39">
        <v>0</v>
      </c>
      <c r="BN39">
        <v>0</v>
      </c>
      <c r="BO39" t="s">
        <v>3</v>
      </c>
      <c r="BP39">
        <v>0</v>
      </c>
      <c r="BQ39">
        <v>1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2"/>
        <v>29796.58</v>
      </c>
      <c r="CQ39">
        <f t="shared" si="43"/>
        <v>0</v>
      </c>
      <c r="CR39">
        <f>(((((ET39*5))*BB39-((EU39*5))*BS39)+AE39*BS39)*AV39)</f>
        <v>0</v>
      </c>
      <c r="CS39">
        <f t="shared" si="44"/>
        <v>0</v>
      </c>
      <c r="CT39">
        <f t="shared" si="45"/>
        <v>5460.35</v>
      </c>
      <c r="CU39">
        <f t="shared" si="46"/>
        <v>0</v>
      </c>
      <c r="CV39">
        <f t="shared" si="47"/>
        <v>12.05</v>
      </c>
      <c r="CW39">
        <f t="shared" si="48"/>
        <v>0</v>
      </c>
      <c r="CX39">
        <f t="shared" si="49"/>
        <v>0</v>
      </c>
      <c r="CY39">
        <f t="shared" si="50"/>
        <v>20857.606</v>
      </c>
      <c r="CZ39">
        <f t="shared" si="51"/>
        <v>2979.6580000000004</v>
      </c>
      <c r="DC39" t="s">
        <v>3</v>
      </c>
      <c r="DD39" t="s">
        <v>58</v>
      </c>
      <c r="DE39" t="s">
        <v>58</v>
      </c>
      <c r="DF39" t="s">
        <v>58</v>
      </c>
      <c r="DG39" t="s">
        <v>58</v>
      </c>
      <c r="DH39" t="s">
        <v>3</v>
      </c>
      <c r="DI39" t="s">
        <v>58</v>
      </c>
      <c r="DJ39" t="s">
        <v>58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1005</v>
      </c>
      <c r="DV39" t="s">
        <v>29</v>
      </c>
      <c r="DW39" t="s">
        <v>29</v>
      </c>
      <c r="DX39">
        <v>100</v>
      </c>
      <c r="DZ39" t="s">
        <v>3</v>
      </c>
      <c r="EA39" t="s">
        <v>3</v>
      </c>
      <c r="EB39" t="s">
        <v>3</v>
      </c>
      <c r="EC39" t="s">
        <v>3</v>
      </c>
      <c r="EE39">
        <v>80196140</v>
      </c>
      <c r="EF39">
        <v>1</v>
      </c>
      <c r="EG39" t="s">
        <v>23</v>
      </c>
      <c r="EH39">
        <v>0</v>
      </c>
      <c r="EI39" t="s">
        <v>3</v>
      </c>
      <c r="EJ39">
        <v>4</v>
      </c>
      <c r="EK39">
        <v>0</v>
      </c>
      <c r="EL39" t="s">
        <v>24</v>
      </c>
      <c r="EM39" t="s">
        <v>25</v>
      </c>
      <c r="EO39" t="s">
        <v>3</v>
      </c>
      <c r="EQ39">
        <v>0</v>
      </c>
      <c r="ER39">
        <v>1092.07</v>
      </c>
      <c r="ES39">
        <v>0</v>
      </c>
      <c r="ET39">
        <v>0</v>
      </c>
      <c r="EU39">
        <v>0</v>
      </c>
      <c r="EV39">
        <v>1092.07</v>
      </c>
      <c r="EW39">
        <v>2.41</v>
      </c>
      <c r="EX39">
        <v>0</v>
      </c>
      <c r="EY39">
        <v>0</v>
      </c>
      <c r="FQ39">
        <v>0</v>
      </c>
      <c r="FR39"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1681224467</v>
      </c>
      <c r="GG39">
        <v>2</v>
      </c>
      <c r="GH39">
        <v>1</v>
      </c>
      <c r="GI39">
        <v>-2</v>
      </c>
      <c r="GJ39">
        <v>0</v>
      </c>
      <c r="GK39">
        <f>ROUND(R39*(R12)/100,2)</f>
        <v>0</v>
      </c>
      <c r="GL39">
        <f t="shared" si="52"/>
        <v>0</v>
      </c>
      <c r="GM39">
        <f t="shared" si="53"/>
        <v>53633.85</v>
      </c>
      <c r="GN39">
        <f t="shared" si="54"/>
        <v>0</v>
      </c>
      <c r="GO39">
        <f t="shared" si="55"/>
        <v>0</v>
      </c>
      <c r="GP39">
        <f t="shared" si="56"/>
        <v>53633.85</v>
      </c>
      <c r="GR39">
        <v>0</v>
      </c>
      <c r="GS39">
        <v>3</v>
      </c>
      <c r="GT39">
        <v>0</v>
      </c>
      <c r="GU39" t="s">
        <v>3</v>
      </c>
      <c r="GV39">
        <f t="shared" si="57"/>
        <v>0</v>
      </c>
      <c r="GW39">
        <v>1</v>
      </c>
      <c r="GX39">
        <f t="shared" si="58"/>
        <v>0</v>
      </c>
      <c r="HA39">
        <v>0</v>
      </c>
      <c r="HB39">
        <v>0</v>
      </c>
      <c r="HC39">
        <f t="shared" si="59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HS39">
        <v>0</v>
      </c>
      <c r="IK39">
        <v>0</v>
      </c>
    </row>
    <row r="40" spans="1:245" x14ac:dyDescent="0.25">
      <c r="A40">
        <v>17</v>
      </c>
      <c r="B40">
        <v>1</v>
      </c>
      <c r="C40">
        <f>ROW(SmtRes!A13)</f>
        <v>13</v>
      </c>
      <c r="D40">
        <f>ROW(EtalonRes!A13)</f>
        <v>13</v>
      </c>
      <c r="E40" t="s">
        <v>59</v>
      </c>
      <c r="F40" t="s">
        <v>60</v>
      </c>
      <c r="G40" t="s">
        <v>61</v>
      </c>
      <c r="H40" t="s">
        <v>39</v>
      </c>
      <c r="I40">
        <v>4911.18</v>
      </c>
      <c r="J40">
        <v>0</v>
      </c>
      <c r="K40">
        <v>4911.18</v>
      </c>
      <c r="O40">
        <f t="shared" si="28"/>
        <v>4325079.78</v>
      </c>
      <c r="P40">
        <f t="shared" si="29"/>
        <v>0</v>
      </c>
      <c r="Q40">
        <f t="shared" si="30"/>
        <v>3501671.34</v>
      </c>
      <c r="R40">
        <f t="shared" si="31"/>
        <v>1717734.32</v>
      </c>
      <c r="S40">
        <f t="shared" si="32"/>
        <v>823408.44</v>
      </c>
      <c r="T40">
        <f t="shared" si="33"/>
        <v>0</v>
      </c>
      <c r="U40">
        <f t="shared" si="34"/>
        <v>1817.1366</v>
      </c>
      <c r="V40">
        <f t="shared" si="35"/>
        <v>0</v>
      </c>
      <c r="W40">
        <f t="shared" si="36"/>
        <v>0</v>
      </c>
      <c r="X40">
        <f t="shared" si="37"/>
        <v>576385.91</v>
      </c>
      <c r="Y40">
        <f t="shared" si="38"/>
        <v>82340.84</v>
      </c>
      <c r="AA40">
        <v>80891843</v>
      </c>
      <c r="AB40">
        <f t="shared" si="39"/>
        <v>880.66</v>
      </c>
      <c r="AC40">
        <f>ROUND((ES40),6)</f>
        <v>0</v>
      </c>
      <c r="AD40">
        <f>ROUND((((ET40)-(EU40))+AE40),6)</f>
        <v>713</v>
      </c>
      <c r="AE40">
        <f>ROUND((EU40),6)</f>
        <v>349.76</v>
      </c>
      <c r="AF40">
        <f>ROUND((EV40),6)</f>
        <v>167.66</v>
      </c>
      <c r="AG40">
        <f t="shared" si="40"/>
        <v>0</v>
      </c>
      <c r="AH40">
        <f>(EW40)</f>
        <v>0.37</v>
      </c>
      <c r="AI40">
        <f>(EX40)</f>
        <v>0</v>
      </c>
      <c r="AJ40">
        <f t="shared" si="41"/>
        <v>0</v>
      </c>
      <c r="AK40">
        <v>880.66</v>
      </c>
      <c r="AL40">
        <v>0</v>
      </c>
      <c r="AM40">
        <v>713</v>
      </c>
      <c r="AN40">
        <v>349.76</v>
      </c>
      <c r="AO40">
        <v>167.66</v>
      </c>
      <c r="AP40">
        <v>0</v>
      </c>
      <c r="AQ40">
        <v>0.37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62</v>
      </c>
      <c r="BM40">
        <v>0</v>
      </c>
      <c r="BN40">
        <v>0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2"/>
        <v>4325079.7799999993</v>
      </c>
      <c r="CQ40">
        <f t="shared" si="43"/>
        <v>0</v>
      </c>
      <c r="CR40">
        <f>((((ET40)*BB40-(EU40)*BS40)+AE40*BS40)*AV40)</f>
        <v>713</v>
      </c>
      <c r="CS40">
        <f t="shared" si="44"/>
        <v>349.76</v>
      </c>
      <c r="CT40">
        <f t="shared" si="45"/>
        <v>167.66</v>
      </c>
      <c r="CU40">
        <f t="shared" si="46"/>
        <v>0</v>
      </c>
      <c r="CV40">
        <f t="shared" si="47"/>
        <v>0.37</v>
      </c>
      <c r="CW40">
        <f t="shared" si="48"/>
        <v>0</v>
      </c>
      <c r="CX40">
        <f t="shared" si="49"/>
        <v>0</v>
      </c>
      <c r="CY40">
        <f t="shared" si="50"/>
        <v>576385.90799999994</v>
      </c>
      <c r="CZ40">
        <f t="shared" si="51"/>
        <v>82340.843999999997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1007</v>
      </c>
      <c r="DV40" t="s">
        <v>39</v>
      </c>
      <c r="DW40" t="s">
        <v>39</v>
      </c>
      <c r="DX40">
        <v>1</v>
      </c>
      <c r="DZ40" t="s">
        <v>3</v>
      </c>
      <c r="EA40" t="s">
        <v>3</v>
      </c>
      <c r="EB40" t="s">
        <v>3</v>
      </c>
      <c r="EC40" t="s">
        <v>3</v>
      </c>
      <c r="EE40">
        <v>80196140</v>
      </c>
      <c r="EF40">
        <v>1</v>
      </c>
      <c r="EG40" t="s">
        <v>23</v>
      </c>
      <c r="EH40">
        <v>0</v>
      </c>
      <c r="EI40" t="s">
        <v>3</v>
      </c>
      <c r="EJ40">
        <v>4</v>
      </c>
      <c r="EK40">
        <v>0</v>
      </c>
      <c r="EL40" t="s">
        <v>24</v>
      </c>
      <c r="EM40" t="s">
        <v>25</v>
      </c>
      <c r="EO40" t="s">
        <v>3</v>
      </c>
      <c r="EQ40">
        <v>0</v>
      </c>
      <c r="ER40">
        <v>880.66</v>
      </c>
      <c r="ES40">
        <v>0</v>
      </c>
      <c r="ET40">
        <v>713</v>
      </c>
      <c r="EU40">
        <v>349.76</v>
      </c>
      <c r="EV40">
        <v>167.66</v>
      </c>
      <c r="EW40">
        <v>0.37</v>
      </c>
      <c r="EX40">
        <v>0</v>
      </c>
      <c r="EY40">
        <v>0</v>
      </c>
      <c r="FQ40">
        <v>0</v>
      </c>
      <c r="FR40"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-730330233</v>
      </c>
      <c r="GG40">
        <v>2</v>
      </c>
      <c r="GH40">
        <v>1</v>
      </c>
      <c r="GI40">
        <v>-2</v>
      </c>
      <c r="GJ40">
        <v>0</v>
      </c>
      <c r="GK40">
        <f>ROUND(R40*(R12)/100,2)</f>
        <v>1855153.07</v>
      </c>
      <c r="GL40">
        <f t="shared" si="52"/>
        <v>0</v>
      </c>
      <c r="GM40">
        <f t="shared" si="53"/>
        <v>6838959.5999999996</v>
      </c>
      <c r="GN40">
        <f t="shared" si="54"/>
        <v>0</v>
      </c>
      <c r="GO40">
        <f t="shared" si="55"/>
        <v>0</v>
      </c>
      <c r="GP40">
        <f t="shared" si="56"/>
        <v>6838959.5999999996</v>
      </c>
      <c r="GR40">
        <v>0</v>
      </c>
      <c r="GS40">
        <v>3</v>
      </c>
      <c r="GT40">
        <v>0</v>
      </c>
      <c r="GU40" t="s">
        <v>3</v>
      </c>
      <c r="GV40">
        <f t="shared" si="57"/>
        <v>0</v>
      </c>
      <c r="GW40">
        <v>1</v>
      </c>
      <c r="GX40">
        <f t="shared" si="58"/>
        <v>0</v>
      </c>
      <c r="HA40">
        <v>0</v>
      </c>
      <c r="HB40">
        <v>0</v>
      </c>
      <c r="HC40">
        <f t="shared" si="59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HS40">
        <v>0</v>
      </c>
      <c r="IK40">
        <v>0</v>
      </c>
    </row>
    <row r="41" spans="1:245" x14ac:dyDescent="0.25">
      <c r="A41">
        <v>17</v>
      </c>
      <c r="B41">
        <v>1</v>
      </c>
      <c r="C41">
        <f>ROW(SmtRes!A14)</f>
        <v>14</v>
      </c>
      <c r="D41">
        <f>ROW(EtalonRes!A14)</f>
        <v>14</v>
      </c>
      <c r="E41" t="s">
        <v>63</v>
      </c>
      <c r="F41" t="s">
        <v>64</v>
      </c>
      <c r="G41" t="s">
        <v>65</v>
      </c>
      <c r="H41" t="s">
        <v>39</v>
      </c>
      <c r="I41">
        <v>4911.18</v>
      </c>
      <c r="J41">
        <v>0</v>
      </c>
      <c r="K41">
        <v>4911.18</v>
      </c>
      <c r="O41">
        <f t="shared" si="28"/>
        <v>926936.11</v>
      </c>
      <c r="P41">
        <f t="shared" si="29"/>
        <v>0</v>
      </c>
      <c r="Q41">
        <f t="shared" si="30"/>
        <v>926936.11</v>
      </c>
      <c r="R41">
        <f t="shared" si="31"/>
        <v>454677.04</v>
      </c>
      <c r="S41">
        <f t="shared" si="32"/>
        <v>0</v>
      </c>
      <c r="T41">
        <f t="shared" si="33"/>
        <v>0</v>
      </c>
      <c r="U41">
        <f t="shared" si="34"/>
        <v>0</v>
      </c>
      <c r="V41">
        <f t="shared" si="35"/>
        <v>0</v>
      </c>
      <c r="W41">
        <f t="shared" si="36"/>
        <v>0</v>
      </c>
      <c r="X41">
        <f t="shared" si="37"/>
        <v>0</v>
      </c>
      <c r="Y41">
        <f t="shared" si="38"/>
        <v>0</v>
      </c>
      <c r="AA41">
        <v>80891843</v>
      </c>
      <c r="AB41">
        <f t="shared" si="39"/>
        <v>188.74</v>
      </c>
      <c r="AC41">
        <f>ROUND((ES41),6)</f>
        <v>0</v>
      </c>
      <c r="AD41">
        <f>ROUND((((ET41)-(EU41))+AE41),6)</f>
        <v>188.74</v>
      </c>
      <c r="AE41">
        <f>ROUND((EU41),6)</f>
        <v>92.58</v>
      </c>
      <c r="AF41">
        <f>ROUND((EV41),6)</f>
        <v>0</v>
      </c>
      <c r="AG41">
        <f t="shared" si="40"/>
        <v>0</v>
      </c>
      <c r="AH41">
        <f>(EW41)</f>
        <v>0</v>
      </c>
      <c r="AI41">
        <f>(EX41)</f>
        <v>0</v>
      </c>
      <c r="AJ41">
        <f t="shared" si="41"/>
        <v>0</v>
      </c>
      <c r="AK41">
        <v>188.74</v>
      </c>
      <c r="AL41">
        <v>0</v>
      </c>
      <c r="AM41">
        <v>188.74</v>
      </c>
      <c r="AN41">
        <v>92.58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4</v>
      </c>
      <c r="BJ41" t="s">
        <v>66</v>
      </c>
      <c r="BM41">
        <v>0</v>
      </c>
      <c r="BN41">
        <v>0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2"/>
        <v>926936.11</v>
      </c>
      <c r="CQ41">
        <f t="shared" si="43"/>
        <v>0</v>
      </c>
      <c r="CR41">
        <f>((((ET41)*BB41-(EU41)*BS41)+AE41*BS41)*AV41)</f>
        <v>188.74</v>
      </c>
      <c r="CS41">
        <f t="shared" si="44"/>
        <v>92.58</v>
      </c>
      <c r="CT41">
        <f t="shared" si="45"/>
        <v>0</v>
      </c>
      <c r="CU41">
        <f t="shared" si="46"/>
        <v>0</v>
      </c>
      <c r="CV41">
        <f t="shared" si="47"/>
        <v>0</v>
      </c>
      <c r="CW41">
        <f t="shared" si="48"/>
        <v>0</v>
      </c>
      <c r="CX41">
        <f t="shared" si="49"/>
        <v>0</v>
      </c>
      <c r="CY41">
        <f t="shared" si="50"/>
        <v>0</v>
      </c>
      <c r="CZ41">
        <f t="shared" si="51"/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1007</v>
      </c>
      <c r="DV41" t="s">
        <v>39</v>
      </c>
      <c r="DW41" t="s">
        <v>39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80196140</v>
      </c>
      <c r="EF41">
        <v>1</v>
      </c>
      <c r="EG41" t="s">
        <v>23</v>
      </c>
      <c r="EH41">
        <v>0</v>
      </c>
      <c r="EI41" t="s">
        <v>3</v>
      </c>
      <c r="EJ41">
        <v>4</v>
      </c>
      <c r="EK41">
        <v>0</v>
      </c>
      <c r="EL41" t="s">
        <v>24</v>
      </c>
      <c r="EM41" t="s">
        <v>25</v>
      </c>
      <c r="EO41" t="s">
        <v>3</v>
      </c>
      <c r="EQ41">
        <v>0</v>
      </c>
      <c r="ER41">
        <v>188.74</v>
      </c>
      <c r="ES41">
        <v>0</v>
      </c>
      <c r="ET41">
        <v>188.74</v>
      </c>
      <c r="EU41">
        <v>92.58</v>
      </c>
      <c r="EV41">
        <v>0</v>
      </c>
      <c r="EW41">
        <v>0</v>
      </c>
      <c r="EX41">
        <v>0</v>
      </c>
      <c r="EY41">
        <v>0</v>
      </c>
      <c r="FQ41">
        <v>0</v>
      </c>
      <c r="FR41"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-290731089</v>
      </c>
      <c r="GG41">
        <v>2</v>
      </c>
      <c r="GH41">
        <v>1</v>
      </c>
      <c r="GI41">
        <v>-2</v>
      </c>
      <c r="GJ41">
        <v>0</v>
      </c>
      <c r="GK41">
        <f>ROUND(R41*(R12)/100,2)</f>
        <v>491051.2</v>
      </c>
      <c r="GL41">
        <f t="shared" si="52"/>
        <v>0</v>
      </c>
      <c r="GM41">
        <f t="shared" si="53"/>
        <v>1417987.31</v>
      </c>
      <c r="GN41">
        <f t="shared" si="54"/>
        <v>0</v>
      </c>
      <c r="GO41">
        <f t="shared" si="55"/>
        <v>0</v>
      </c>
      <c r="GP41">
        <f t="shared" si="56"/>
        <v>1417987.31</v>
      </c>
      <c r="GR41">
        <v>0</v>
      </c>
      <c r="GS41">
        <v>3</v>
      </c>
      <c r="GT41">
        <v>0</v>
      </c>
      <c r="GU41" t="s">
        <v>3</v>
      </c>
      <c r="GV41">
        <f t="shared" si="57"/>
        <v>0</v>
      </c>
      <c r="GW41">
        <v>1</v>
      </c>
      <c r="GX41">
        <f t="shared" si="58"/>
        <v>0</v>
      </c>
      <c r="HA41">
        <v>0</v>
      </c>
      <c r="HB41">
        <v>0</v>
      </c>
      <c r="HC41">
        <f t="shared" si="59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HS41">
        <v>0</v>
      </c>
      <c r="IK41">
        <v>0</v>
      </c>
    </row>
    <row r="43" spans="1:245" ht="13" x14ac:dyDescent="0.3">
      <c r="A43" s="2">
        <v>51</v>
      </c>
      <c r="B43" s="2">
        <f>B28</f>
        <v>1</v>
      </c>
      <c r="C43" s="2">
        <f>A28</f>
        <v>5</v>
      </c>
      <c r="D43" s="2">
        <f>ROW(A28)</f>
        <v>28</v>
      </c>
      <c r="E43" s="2"/>
      <c r="F43" s="2" t="str">
        <f>IF(F28&lt;&gt;"",F28,"")</f>
        <v>Новый подраздел</v>
      </c>
      <c r="G43" s="2" t="str">
        <f>IF(G28&lt;&gt;"",G28,"")</f>
        <v xml:space="preserve">Подраздел: ЗИМНЯЯ УБОРКА </v>
      </c>
      <c r="H43" s="2">
        <v>0</v>
      </c>
      <c r="I43" s="2"/>
      <c r="J43" s="2"/>
      <c r="K43" s="2"/>
      <c r="L43" s="2"/>
      <c r="M43" s="2"/>
      <c r="N43" s="2"/>
      <c r="O43" s="2">
        <f t="shared" ref="O43:T43" si="60">ROUND(AB43,2)</f>
        <v>9831196.6600000001</v>
      </c>
      <c r="P43" s="2">
        <f t="shared" si="60"/>
        <v>1117287.72</v>
      </c>
      <c r="Q43" s="2">
        <f t="shared" si="60"/>
        <v>6643140.9400000004</v>
      </c>
      <c r="R43" s="2">
        <f t="shared" si="60"/>
        <v>3075803.26</v>
      </c>
      <c r="S43" s="2">
        <f t="shared" si="60"/>
        <v>2070768</v>
      </c>
      <c r="T43" s="2">
        <f t="shared" si="60"/>
        <v>0</v>
      </c>
      <c r="U43" s="2">
        <f>AH43</f>
        <v>4569.8501090000009</v>
      </c>
      <c r="V43" s="2">
        <f>AI43</f>
        <v>0</v>
      </c>
      <c r="W43" s="2">
        <f>ROUND(AJ43,2)</f>
        <v>0</v>
      </c>
      <c r="X43" s="2">
        <f>ROUND(AK43,2)</f>
        <v>1449537.6</v>
      </c>
      <c r="Y43" s="2">
        <f>ROUND(AL43,2)</f>
        <v>207076.8</v>
      </c>
      <c r="Z43" s="2"/>
      <c r="AA43" s="2"/>
      <c r="AB43" s="2">
        <f>ROUND(SUMIF(AA32:AA41,"=80891843",O32:O41),2)</f>
        <v>9831196.6600000001</v>
      </c>
      <c r="AC43" s="2">
        <f>ROUND(SUMIF(AA32:AA41,"=80891843",P32:P41),2)</f>
        <v>1117287.72</v>
      </c>
      <c r="AD43" s="2">
        <f>ROUND(SUMIF(AA32:AA41,"=80891843",Q32:Q41),2)</f>
        <v>6643140.9400000004</v>
      </c>
      <c r="AE43" s="2">
        <f>ROUND(SUMIF(AA32:AA41,"=80891843",R32:R41),2)</f>
        <v>3075803.26</v>
      </c>
      <c r="AF43" s="2">
        <f>ROUND(SUMIF(AA32:AA41,"=80891843",S32:S41),2)</f>
        <v>2070768</v>
      </c>
      <c r="AG43" s="2">
        <f>ROUND(SUMIF(AA32:AA41,"=80891843",T32:T41),2)</f>
        <v>0</v>
      </c>
      <c r="AH43" s="2">
        <f>SUMIF(AA32:AA41,"=80891843",U32:U41)</f>
        <v>4569.8501090000009</v>
      </c>
      <c r="AI43" s="2">
        <f>SUMIF(AA32:AA41,"=80891843",V32:V41)</f>
        <v>0</v>
      </c>
      <c r="AJ43" s="2">
        <f>ROUND(SUMIF(AA32:AA41,"=80891843",W32:W41),2)</f>
        <v>0</v>
      </c>
      <c r="AK43" s="2">
        <f>ROUND(SUMIF(AA32:AA41,"=80891843",X32:X41),2)</f>
        <v>1449537.6</v>
      </c>
      <c r="AL43" s="2">
        <f>ROUND(SUMIF(AA32:AA41,"=80891843",Y32:Y41),2)</f>
        <v>207076.8</v>
      </c>
      <c r="AM43" s="2"/>
      <c r="AN43" s="2"/>
      <c r="AO43" s="2">
        <f t="shared" ref="AO43:BD43" si="61">ROUND(BX43,2)</f>
        <v>0</v>
      </c>
      <c r="AP43" s="2">
        <f t="shared" si="61"/>
        <v>0</v>
      </c>
      <c r="AQ43" s="2">
        <f t="shared" si="61"/>
        <v>0</v>
      </c>
      <c r="AR43" s="2">
        <f t="shared" si="61"/>
        <v>14809678.58</v>
      </c>
      <c r="AS43" s="2">
        <f t="shared" si="61"/>
        <v>0</v>
      </c>
      <c r="AT43" s="2">
        <f t="shared" si="61"/>
        <v>0</v>
      </c>
      <c r="AU43" s="2">
        <f t="shared" si="61"/>
        <v>14809678.58</v>
      </c>
      <c r="AV43" s="2">
        <f t="shared" si="61"/>
        <v>1117287.72</v>
      </c>
      <c r="AW43" s="2">
        <f t="shared" si="61"/>
        <v>1117287.72</v>
      </c>
      <c r="AX43" s="2">
        <f t="shared" si="61"/>
        <v>0</v>
      </c>
      <c r="AY43" s="2">
        <f t="shared" si="61"/>
        <v>1117287.72</v>
      </c>
      <c r="AZ43" s="2">
        <f t="shared" si="61"/>
        <v>0</v>
      </c>
      <c r="BA43" s="2">
        <f t="shared" si="61"/>
        <v>0</v>
      </c>
      <c r="BB43" s="2">
        <f t="shared" si="61"/>
        <v>0</v>
      </c>
      <c r="BC43" s="2">
        <f t="shared" si="61"/>
        <v>0</v>
      </c>
      <c r="BD43" s="2">
        <f t="shared" si="61"/>
        <v>0</v>
      </c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>
        <f>ROUND(SUMIF(AA32:AA41,"=80891843",FQ32:FQ41),2)</f>
        <v>0</v>
      </c>
      <c r="BY43" s="2">
        <f>ROUND(SUMIF(AA32:AA41,"=80891843",FR32:FR41),2)</f>
        <v>0</v>
      </c>
      <c r="BZ43" s="2">
        <f>ROUND(SUMIF(AA32:AA41,"=80891843",GL32:GL41),2)</f>
        <v>0</v>
      </c>
      <c r="CA43" s="2">
        <f>ROUND(SUMIF(AA32:AA41,"=80891843",GM32:GM41),2)</f>
        <v>14809678.58</v>
      </c>
      <c r="CB43" s="2">
        <f>ROUND(SUMIF(AA32:AA41,"=80891843",GN32:GN41),2)</f>
        <v>0</v>
      </c>
      <c r="CC43" s="2">
        <f>ROUND(SUMIF(AA32:AA41,"=80891843",GO32:GO41),2)</f>
        <v>0</v>
      </c>
      <c r="CD43" s="2">
        <f>ROUND(SUMIF(AA32:AA41,"=80891843",GP32:GP41),2)</f>
        <v>14809678.58</v>
      </c>
      <c r="CE43" s="2">
        <f>AC43-BX43</f>
        <v>1117287.72</v>
      </c>
      <c r="CF43" s="2">
        <f>AC43-BY43</f>
        <v>1117287.72</v>
      </c>
      <c r="CG43" s="2">
        <f>BX43-BZ43</f>
        <v>0</v>
      </c>
      <c r="CH43" s="2">
        <f>AC43-BX43-BY43+BZ43</f>
        <v>1117287.72</v>
      </c>
      <c r="CI43" s="2">
        <f>BY43-BZ43</f>
        <v>0</v>
      </c>
      <c r="CJ43" s="2">
        <f>ROUND(SUMIF(AA32:AA41,"=80891843",GX32:GX41),2)</f>
        <v>0</v>
      </c>
      <c r="CK43" s="2">
        <f>ROUND(SUMIF(AA32:AA41,"=80891843",GY32:GY41),2)</f>
        <v>0</v>
      </c>
      <c r="CL43" s="2">
        <f>ROUND(SUMIF(AA32:AA41,"=80891843",GZ32:GZ41),2)</f>
        <v>0</v>
      </c>
      <c r="CM43" s="2">
        <f>ROUND(SUMIF(AA32:AA41,"=80891843",HD32:HD41),2)</f>
        <v>0</v>
      </c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>
        <v>0</v>
      </c>
    </row>
    <row r="45" spans="1:245" ht="13" x14ac:dyDescent="0.3">
      <c r="A45" s="4">
        <v>50</v>
      </c>
      <c r="B45" s="4">
        <v>0</v>
      </c>
      <c r="C45" s="4">
        <v>0</v>
      </c>
      <c r="D45" s="4">
        <v>1</v>
      </c>
      <c r="E45" s="4">
        <v>201</v>
      </c>
      <c r="F45" s="4">
        <f>ROUND(Source!O43,O45)</f>
        <v>9831196.6600000001</v>
      </c>
      <c r="G45" s="4" t="s">
        <v>67</v>
      </c>
      <c r="H45" s="4" t="s">
        <v>68</v>
      </c>
      <c r="I45" s="4"/>
      <c r="J45" s="4"/>
      <c r="K45" s="4">
        <v>201</v>
      </c>
      <c r="L45" s="4">
        <v>1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9831196.6600000001</v>
      </c>
      <c r="X45" s="4">
        <v>1</v>
      </c>
      <c r="Y45" s="4">
        <v>9831196.6600000001</v>
      </c>
      <c r="Z45" s="4"/>
      <c r="AA45" s="4"/>
      <c r="AB45" s="4"/>
    </row>
    <row r="46" spans="1:245" ht="13" x14ac:dyDescent="0.3">
      <c r="A46" s="4">
        <v>50</v>
      </c>
      <c r="B46" s="4">
        <v>0</v>
      </c>
      <c r="C46" s="4">
        <v>0</v>
      </c>
      <c r="D46" s="4">
        <v>1</v>
      </c>
      <c r="E46" s="4">
        <v>202</v>
      </c>
      <c r="F46" s="4">
        <f>ROUND(Source!P43,O46)</f>
        <v>1117287.72</v>
      </c>
      <c r="G46" s="4" t="s">
        <v>69</v>
      </c>
      <c r="H46" s="4" t="s">
        <v>70</v>
      </c>
      <c r="I46" s="4"/>
      <c r="J46" s="4"/>
      <c r="K46" s="4">
        <v>202</v>
      </c>
      <c r="L46" s="4">
        <v>2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1117287.72</v>
      </c>
      <c r="X46" s="4">
        <v>1</v>
      </c>
      <c r="Y46" s="4">
        <v>1117287.72</v>
      </c>
      <c r="Z46" s="4"/>
      <c r="AA46" s="4"/>
      <c r="AB46" s="4"/>
    </row>
    <row r="47" spans="1:245" ht="13" x14ac:dyDescent="0.3">
      <c r="A47" s="4">
        <v>50</v>
      </c>
      <c r="B47" s="4">
        <v>0</v>
      </c>
      <c r="C47" s="4">
        <v>0</v>
      </c>
      <c r="D47" s="4">
        <v>1</v>
      </c>
      <c r="E47" s="4">
        <v>222</v>
      </c>
      <c r="F47" s="4">
        <f>ROUND(Source!AO43,O47)</f>
        <v>0</v>
      </c>
      <c r="G47" s="4" t="s">
        <v>71</v>
      </c>
      <c r="H47" s="4" t="s">
        <v>72</v>
      </c>
      <c r="I47" s="4"/>
      <c r="J47" s="4"/>
      <c r="K47" s="4">
        <v>222</v>
      </c>
      <c r="L47" s="4">
        <v>3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45" ht="13" x14ac:dyDescent="0.3">
      <c r="A48" s="4">
        <v>50</v>
      </c>
      <c r="B48" s="4">
        <v>0</v>
      </c>
      <c r="C48" s="4">
        <v>0</v>
      </c>
      <c r="D48" s="4">
        <v>1</v>
      </c>
      <c r="E48" s="4">
        <v>225</v>
      </c>
      <c r="F48" s="4">
        <f>ROUND(Source!AV43,O48)</f>
        <v>1117287.72</v>
      </c>
      <c r="G48" s="4" t="s">
        <v>73</v>
      </c>
      <c r="H48" s="4" t="s">
        <v>74</v>
      </c>
      <c r="I48" s="4"/>
      <c r="J48" s="4"/>
      <c r="K48" s="4">
        <v>225</v>
      </c>
      <c r="L48" s="4">
        <v>4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1117287.72</v>
      </c>
      <c r="X48" s="4">
        <v>1</v>
      </c>
      <c r="Y48" s="4">
        <v>1117287.72</v>
      </c>
      <c r="Z48" s="4"/>
      <c r="AA48" s="4"/>
      <c r="AB48" s="4"/>
    </row>
    <row r="49" spans="1:28" ht="13" x14ac:dyDescent="0.3">
      <c r="A49" s="4">
        <v>50</v>
      </c>
      <c r="B49" s="4">
        <v>0</v>
      </c>
      <c r="C49" s="4">
        <v>0</v>
      </c>
      <c r="D49" s="4">
        <v>1</v>
      </c>
      <c r="E49" s="4">
        <v>226</v>
      </c>
      <c r="F49" s="4">
        <f>ROUND(Source!AW43,O49)</f>
        <v>1117287.72</v>
      </c>
      <c r="G49" s="4" t="s">
        <v>75</v>
      </c>
      <c r="H49" s="4" t="s">
        <v>76</v>
      </c>
      <c r="I49" s="4"/>
      <c r="J49" s="4"/>
      <c r="K49" s="4">
        <v>226</v>
      </c>
      <c r="L49" s="4">
        <v>5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1117287.72</v>
      </c>
      <c r="X49" s="4">
        <v>1</v>
      </c>
      <c r="Y49" s="4">
        <v>1117287.72</v>
      </c>
      <c r="Z49" s="4"/>
      <c r="AA49" s="4"/>
      <c r="AB49" s="4"/>
    </row>
    <row r="50" spans="1:28" ht="13" x14ac:dyDescent="0.3">
      <c r="A50" s="4">
        <v>50</v>
      </c>
      <c r="B50" s="4">
        <v>0</v>
      </c>
      <c r="C50" s="4">
        <v>0</v>
      </c>
      <c r="D50" s="4">
        <v>1</v>
      </c>
      <c r="E50" s="4">
        <v>227</v>
      </c>
      <c r="F50" s="4">
        <f>ROUND(Source!AX43,O50)</f>
        <v>0</v>
      </c>
      <c r="G50" s="4" t="s">
        <v>77</v>
      </c>
      <c r="H50" s="4" t="s">
        <v>78</v>
      </c>
      <c r="I50" s="4"/>
      <c r="J50" s="4"/>
      <c r="K50" s="4">
        <v>227</v>
      </c>
      <c r="L50" s="4">
        <v>6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ht="13" x14ac:dyDescent="0.3">
      <c r="A51" s="4">
        <v>50</v>
      </c>
      <c r="B51" s="4">
        <v>0</v>
      </c>
      <c r="C51" s="4">
        <v>0</v>
      </c>
      <c r="D51" s="4">
        <v>1</v>
      </c>
      <c r="E51" s="4">
        <v>228</v>
      </c>
      <c r="F51" s="4">
        <f>ROUND(Source!AY43,O51)</f>
        <v>1117287.72</v>
      </c>
      <c r="G51" s="4" t="s">
        <v>79</v>
      </c>
      <c r="H51" s="4" t="s">
        <v>80</v>
      </c>
      <c r="I51" s="4"/>
      <c r="J51" s="4"/>
      <c r="K51" s="4">
        <v>228</v>
      </c>
      <c r="L51" s="4">
        <v>7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1117287.72</v>
      </c>
      <c r="X51" s="4">
        <v>1</v>
      </c>
      <c r="Y51" s="4">
        <v>1117287.72</v>
      </c>
      <c r="Z51" s="4"/>
      <c r="AA51" s="4"/>
      <c r="AB51" s="4"/>
    </row>
    <row r="52" spans="1:28" ht="13" x14ac:dyDescent="0.3">
      <c r="A52" s="4">
        <v>50</v>
      </c>
      <c r="B52" s="4">
        <v>0</v>
      </c>
      <c r="C52" s="4">
        <v>0</v>
      </c>
      <c r="D52" s="4">
        <v>1</v>
      </c>
      <c r="E52" s="4">
        <v>216</v>
      </c>
      <c r="F52" s="4">
        <f>ROUND(Source!AP43,O52)</f>
        <v>0</v>
      </c>
      <c r="G52" s="4" t="s">
        <v>81</v>
      </c>
      <c r="H52" s="4" t="s">
        <v>82</v>
      </c>
      <c r="I52" s="4"/>
      <c r="J52" s="4"/>
      <c r="K52" s="4">
        <v>216</v>
      </c>
      <c r="L52" s="4">
        <v>8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ht="13" x14ac:dyDescent="0.3">
      <c r="A53" s="4">
        <v>50</v>
      </c>
      <c r="B53" s="4">
        <v>0</v>
      </c>
      <c r="C53" s="4">
        <v>0</v>
      </c>
      <c r="D53" s="4">
        <v>1</v>
      </c>
      <c r="E53" s="4">
        <v>223</v>
      </c>
      <c r="F53" s="4">
        <f>ROUND(Source!AQ43,O53)</f>
        <v>0</v>
      </c>
      <c r="G53" s="4" t="s">
        <v>83</v>
      </c>
      <c r="H53" s="4" t="s">
        <v>84</v>
      </c>
      <c r="I53" s="4"/>
      <c r="J53" s="4"/>
      <c r="K53" s="4">
        <v>223</v>
      </c>
      <c r="L53" s="4">
        <v>9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ht="13" x14ac:dyDescent="0.3">
      <c r="A54" s="4">
        <v>50</v>
      </c>
      <c r="B54" s="4">
        <v>0</v>
      </c>
      <c r="C54" s="4">
        <v>0</v>
      </c>
      <c r="D54" s="4">
        <v>1</v>
      </c>
      <c r="E54" s="4">
        <v>229</v>
      </c>
      <c r="F54" s="4">
        <f>ROUND(Source!AZ43,O54)</f>
        <v>0</v>
      </c>
      <c r="G54" s="4" t="s">
        <v>85</v>
      </c>
      <c r="H54" s="4" t="s">
        <v>86</v>
      </c>
      <c r="I54" s="4"/>
      <c r="J54" s="4"/>
      <c r="K54" s="4">
        <v>229</v>
      </c>
      <c r="L54" s="4">
        <v>10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ht="13" x14ac:dyDescent="0.3">
      <c r="A55" s="4">
        <v>50</v>
      </c>
      <c r="B55" s="4">
        <v>0</v>
      </c>
      <c r="C55" s="4">
        <v>0</v>
      </c>
      <c r="D55" s="4">
        <v>1</v>
      </c>
      <c r="E55" s="4">
        <v>203</v>
      </c>
      <c r="F55" s="4">
        <f>ROUND(Source!Q43,O55)</f>
        <v>6643140.9400000004</v>
      </c>
      <c r="G55" s="4" t="s">
        <v>87</v>
      </c>
      <c r="H55" s="4" t="s">
        <v>88</v>
      </c>
      <c r="I55" s="4"/>
      <c r="J55" s="4"/>
      <c r="K55" s="4">
        <v>203</v>
      </c>
      <c r="L55" s="4">
        <v>11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6643140.9400000004</v>
      </c>
      <c r="X55" s="4">
        <v>1</v>
      </c>
      <c r="Y55" s="4">
        <v>6643140.9400000004</v>
      </c>
      <c r="Z55" s="4"/>
      <c r="AA55" s="4"/>
      <c r="AB55" s="4"/>
    </row>
    <row r="56" spans="1:28" ht="13" x14ac:dyDescent="0.3">
      <c r="A56" s="4">
        <v>50</v>
      </c>
      <c r="B56" s="4">
        <v>0</v>
      </c>
      <c r="C56" s="4">
        <v>0</v>
      </c>
      <c r="D56" s="4">
        <v>1</v>
      </c>
      <c r="E56" s="4">
        <v>231</v>
      </c>
      <c r="F56" s="4">
        <f>ROUND(Source!BB43,O56)</f>
        <v>0</v>
      </c>
      <c r="G56" s="4" t="s">
        <v>89</v>
      </c>
      <c r="H56" s="4" t="s">
        <v>90</v>
      </c>
      <c r="I56" s="4"/>
      <c r="J56" s="4"/>
      <c r="K56" s="4">
        <v>231</v>
      </c>
      <c r="L56" s="4">
        <v>12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ht="13" x14ac:dyDescent="0.3">
      <c r="A57" s="4">
        <v>50</v>
      </c>
      <c r="B57" s="4">
        <v>0</v>
      </c>
      <c r="C57" s="4">
        <v>0</v>
      </c>
      <c r="D57" s="4">
        <v>1</v>
      </c>
      <c r="E57" s="4">
        <v>204</v>
      </c>
      <c r="F57" s="4">
        <f>ROUND(Source!R43,O57)</f>
        <v>3075803.26</v>
      </c>
      <c r="G57" s="4" t="s">
        <v>91</v>
      </c>
      <c r="H57" s="4" t="s">
        <v>92</v>
      </c>
      <c r="I57" s="4"/>
      <c r="J57" s="4"/>
      <c r="K57" s="4">
        <v>204</v>
      </c>
      <c r="L57" s="4">
        <v>13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3075803.26</v>
      </c>
      <c r="X57" s="4">
        <v>1</v>
      </c>
      <c r="Y57" s="4">
        <v>3075803.26</v>
      </c>
      <c r="Z57" s="4"/>
      <c r="AA57" s="4"/>
      <c r="AB57" s="4"/>
    </row>
    <row r="58" spans="1:28" ht="13" x14ac:dyDescent="0.3">
      <c r="A58" s="4">
        <v>50</v>
      </c>
      <c r="B58" s="4">
        <v>0</v>
      </c>
      <c r="C58" s="4">
        <v>0</v>
      </c>
      <c r="D58" s="4">
        <v>1</v>
      </c>
      <c r="E58" s="4">
        <v>205</v>
      </c>
      <c r="F58" s="4">
        <f>ROUND(Source!S43,O58)</f>
        <v>2070768</v>
      </c>
      <c r="G58" s="4" t="s">
        <v>93</v>
      </c>
      <c r="H58" s="4" t="s">
        <v>94</v>
      </c>
      <c r="I58" s="4"/>
      <c r="J58" s="4"/>
      <c r="K58" s="4">
        <v>205</v>
      </c>
      <c r="L58" s="4">
        <v>14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2070768</v>
      </c>
      <c r="X58" s="4">
        <v>1</v>
      </c>
      <c r="Y58" s="4">
        <v>2070768</v>
      </c>
      <c r="Z58" s="4"/>
      <c r="AA58" s="4"/>
      <c r="AB58" s="4"/>
    </row>
    <row r="59" spans="1:28" ht="13" x14ac:dyDescent="0.3">
      <c r="A59" s="4">
        <v>50</v>
      </c>
      <c r="B59" s="4">
        <v>0</v>
      </c>
      <c r="C59" s="4">
        <v>0</v>
      </c>
      <c r="D59" s="4">
        <v>1</v>
      </c>
      <c r="E59" s="4">
        <v>232</v>
      </c>
      <c r="F59" s="4">
        <f>ROUND(Source!BC43,O59)</f>
        <v>0</v>
      </c>
      <c r="G59" s="4" t="s">
        <v>95</v>
      </c>
      <c r="H59" s="4" t="s">
        <v>96</v>
      </c>
      <c r="I59" s="4"/>
      <c r="J59" s="4"/>
      <c r="K59" s="4">
        <v>232</v>
      </c>
      <c r="L59" s="4">
        <v>15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ht="13" x14ac:dyDescent="0.3">
      <c r="A60" s="4">
        <v>50</v>
      </c>
      <c r="B60" s="4">
        <v>0</v>
      </c>
      <c r="C60" s="4">
        <v>0</v>
      </c>
      <c r="D60" s="4">
        <v>1</v>
      </c>
      <c r="E60" s="4">
        <v>214</v>
      </c>
      <c r="F60" s="4">
        <f>ROUND(Source!AS43,O60)</f>
        <v>0</v>
      </c>
      <c r="G60" s="4" t="s">
        <v>97</v>
      </c>
      <c r="H60" s="4" t="s">
        <v>98</v>
      </c>
      <c r="I60" s="4"/>
      <c r="J60" s="4"/>
      <c r="K60" s="4">
        <v>214</v>
      </c>
      <c r="L60" s="4">
        <v>16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ht="13" x14ac:dyDescent="0.3">
      <c r="A61" s="4">
        <v>50</v>
      </c>
      <c r="B61" s="4">
        <v>0</v>
      </c>
      <c r="C61" s="4">
        <v>0</v>
      </c>
      <c r="D61" s="4">
        <v>1</v>
      </c>
      <c r="E61" s="4">
        <v>215</v>
      </c>
      <c r="F61" s="4">
        <f>ROUND(Source!AT43,O61)</f>
        <v>0</v>
      </c>
      <c r="G61" s="4" t="s">
        <v>99</v>
      </c>
      <c r="H61" s="4" t="s">
        <v>100</v>
      </c>
      <c r="I61" s="4"/>
      <c r="J61" s="4"/>
      <c r="K61" s="4">
        <v>215</v>
      </c>
      <c r="L61" s="4">
        <v>17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ht="13" x14ac:dyDescent="0.3">
      <c r="A62" s="4">
        <v>50</v>
      </c>
      <c r="B62" s="4">
        <v>0</v>
      </c>
      <c r="C62" s="4">
        <v>0</v>
      </c>
      <c r="D62" s="4">
        <v>1</v>
      </c>
      <c r="E62" s="4">
        <v>217</v>
      </c>
      <c r="F62" s="4">
        <f>ROUND(Source!AU43,O62)</f>
        <v>14809678.58</v>
      </c>
      <c r="G62" s="4" t="s">
        <v>101</v>
      </c>
      <c r="H62" s="4" t="s">
        <v>102</v>
      </c>
      <c r="I62" s="4"/>
      <c r="J62" s="4"/>
      <c r="K62" s="4">
        <v>217</v>
      </c>
      <c r="L62" s="4">
        <v>18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14809678.58</v>
      </c>
      <c r="X62" s="4">
        <v>1</v>
      </c>
      <c r="Y62" s="4">
        <v>14809678.58</v>
      </c>
      <c r="Z62" s="4"/>
      <c r="AA62" s="4"/>
      <c r="AB62" s="4"/>
    </row>
    <row r="63" spans="1:28" ht="13" x14ac:dyDescent="0.3">
      <c r="A63" s="4">
        <v>50</v>
      </c>
      <c r="B63" s="4">
        <v>0</v>
      </c>
      <c r="C63" s="4">
        <v>0</v>
      </c>
      <c r="D63" s="4">
        <v>1</v>
      </c>
      <c r="E63" s="4">
        <v>230</v>
      </c>
      <c r="F63" s="4">
        <f>ROUND(Source!BA43,O63)</f>
        <v>0</v>
      </c>
      <c r="G63" s="4" t="s">
        <v>103</v>
      </c>
      <c r="H63" s="4" t="s">
        <v>104</v>
      </c>
      <c r="I63" s="4"/>
      <c r="J63" s="4"/>
      <c r="K63" s="4">
        <v>230</v>
      </c>
      <c r="L63" s="4">
        <v>19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0</v>
      </c>
      <c r="X63" s="4">
        <v>1</v>
      </c>
      <c r="Y63" s="4">
        <v>0</v>
      </c>
      <c r="Z63" s="4"/>
      <c r="AA63" s="4"/>
      <c r="AB63" s="4"/>
    </row>
    <row r="64" spans="1:28" ht="13" x14ac:dyDescent="0.3">
      <c r="A64" s="4">
        <v>50</v>
      </c>
      <c r="B64" s="4">
        <v>0</v>
      </c>
      <c r="C64" s="4">
        <v>0</v>
      </c>
      <c r="D64" s="4">
        <v>1</v>
      </c>
      <c r="E64" s="4">
        <v>206</v>
      </c>
      <c r="F64" s="4">
        <f>ROUND(Source!T43,O64)</f>
        <v>0</v>
      </c>
      <c r="G64" s="4" t="s">
        <v>105</v>
      </c>
      <c r="H64" s="4" t="s">
        <v>106</v>
      </c>
      <c r="I64" s="4"/>
      <c r="J64" s="4"/>
      <c r="K64" s="4">
        <v>206</v>
      </c>
      <c r="L64" s="4">
        <v>20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45" ht="13" x14ac:dyDescent="0.3">
      <c r="A65" s="4">
        <v>50</v>
      </c>
      <c r="B65" s="4">
        <v>0</v>
      </c>
      <c r="C65" s="4">
        <v>0</v>
      </c>
      <c r="D65" s="4">
        <v>1</v>
      </c>
      <c r="E65" s="4">
        <v>207</v>
      </c>
      <c r="F65" s="4">
        <f>Source!U43</f>
        <v>4569.8501090000009</v>
      </c>
      <c r="G65" s="4" t="s">
        <v>107</v>
      </c>
      <c r="H65" s="4" t="s">
        <v>108</v>
      </c>
      <c r="I65" s="4"/>
      <c r="J65" s="4"/>
      <c r="K65" s="4">
        <v>207</v>
      </c>
      <c r="L65" s="4">
        <v>21</v>
      </c>
      <c r="M65" s="4">
        <v>3</v>
      </c>
      <c r="N65" s="4" t="s">
        <v>3</v>
      </c>
      <c r="O65" s="4">
        <v>-1</v>
      </c>
      <c r="P65" s="4"/>
      <c r="Q65" s="4"/>
      <c r="R65" s="4"/>
      <c r="S65" s="4"/>
      <c r="T65" s="4"/>
      <c r="U65" s="4"/>
      <c r="V65" s="4"/>
      <c r="W65" s="4">
        <v>4569.8501090000009</v>
      </c>
      <c r="X65" s="4">
        <v>1</v>
      </c>
      <c r="Y65" s="4">
        <v>4569.8501090000009</v>
      </c>
      <c r="Z65" s="4"/>
      <c r="AA65" s="4"/>
      <c r="AB65" s="4"/>
    </row>
    <row r="66" spans="1:245" ht="13" x14ac:dyDescent="0.3">
      <c r="A66" s="4">
        <v>50</v>
      </c>
      <c r="B66" s="4">
        <v>0</v>
      </c>
      <c r="C66" s="4">
        <v>0</v>
      </c>
      <c r="D66" s="4">
        <v>1</v>
      </c>
      <c r="E66" s="4">
        <v>208</v>
      </c>
      <c r="F66" s="4">
        <f>Source!V43</f>
        <v>0</v>
      </c>
      <c r="G66" s="4" t="s">
        <v>109</v>
      </c>
      <c r="H66" s="4" t="s">
        <v>110</v>
      </c>
      <c r="I66" s="4"/>
      <c r="J66" s="4"/>
      <c r="K66" s="4">
        <v>208</v>
      </c>
      <c r="L66" s="4">
        <v>22</v>
      </c>
      <c r="M66" s="4">
        <v>3</v>
      </c>
      <c r="N66" s="4" t="s">
        <v>3</v>
      </c>
      <c r="O66" s="4">
        <v>-1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45" ht="13" x14ac:dyDescent="0.3">
      <c r="A67" s="4">
        <v>50</v>
      </c>
      <c r="B67" s="4">
        <v>0</v>
      </c>
      <c r="C67" s="4">
        <v>0</v>
      </c>
      <c r="D67" s="4">
        <v>1</v>
      </c>
      <c r="E67" s="4">
        <v>209</v>
      </c>
      <c r="F67" s="4">
        <f>ROUND(Source!W43,O67)</f>
        <v>0</v>
      </c>
      <c r="G67" s="4" t="s">
        <v>111</v>
      </c>
      <c r="H67" s="4" t="s">
        <v>112</v>
      </c>
      <c r="I67" s="4"/>
      <c r="J67" s="4"/>
      <c r="K67" s="4">
        <v>209</v>
      </c>
      <c r="L67" s="4">
        <v>23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45" ht="13" x14ac:dyDescent="0.3">
      <c r="A68" s="4">
        <v>50</v>
      </c>
      <c r="B68" s="4">
        <v>0</v>
      </c>
      <c r="C68" s="4">
        <v>0</v>
      </c>
      <c r="D68" s="4">
        <v>1</v>
      </c>
      <c r="E68" s="4">
        <v>233</v>
      </c>
      <c r="F68" s="4">
        <f>ROUND(Source!BD43,O68)</f>
        <v>0</v>
      </c>
      <c r="G68" s="4" t="s">
        <v>113</v>
      </c>
      <c r="H68" s="4" t="s">
        <v>114</v>
      </c>
      <c r="I68" s="4"/>
      <c r="J68" s="4"/>
      <c r="K68" s="4">
        <v>233</v>
      </c>
      <c r="L68" s="4">
        <v>24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45" ht="13" x14ac:dyDescent="0.3">
      <c r="A69" s="4">
        <v>50</v>
      </c>
      <c r="B69" s="4">
        <v>0</v>
      </c>
      <c r="C69" s="4">
        <v>0</v>
      </c>
      <c r="D69" s="4">
        <v>1</v>
      </c>
      <c r="E69" s="4">
        <v>210</v>
      </c>
      <c r="F69" s="4">
        <f>ROUND(Source!X43,O69)</f>
        <v>1449537.6</v>
      </c>
      <c r="G69" s="4" t="s">
        <v>115</v>
      </c>
      <c r="H69" s="4" t="s">
        <v>116</v>
      </c>
      <c r="I69" s="4"/>
      <c r="J69" s="4"/>
      <c r="K69" s="4">
        <v>210</v>
      </c>
      <c r="L69" s="4">
        <v>25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1449537.6</v>
      </c>
      <c r="X69" s="4">
        <v>1</v>
      </c>
      <c r="Y69" s="4">
        <v>1449537.6</v>
      </c>
      <c r="Z69" s="4"/>
      <c r="AA69" s="4"/>
      <c r="AB69" s="4"/>
    </row>
    <row r="70" spans="1:245" ht="13" x14ac:dyDescent="0.3">
      <c r="A70" s="4">
        <v>50</v>
      </c>
      <c r="B70" s="4">
        <v>0</v>
      </c>
      <c r="C70" s="4">
        <v>0</v>
      </c>
      <c r="D70" s="4">
        <v>1</v>
      </c>
      <c r="E70" s="4">
        <v>211</v>
      </c>
      <c r="F70" s="4">
        <f>ROUND(Source!Y43,O70)</f>
        <v>207076.8</v>
      </c>
      <c r="G70" s="4" t="s">
        <v>117</v>
      </c>
      <c r="H70" s="4" t="s">
        <v>118</v>
      </c>
      <c r="I70" s="4"/>
      <c r="J70" s="4"/>
      <c r="K70" s="4">
        <v>211</v>
      </c>
      <c r="L70" s="4">
        <v>26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207076.8</v>
      </c>
      <c r="X70" s="4">
        <v>1</v>
      </c>
      <c r="Y70" s="4">
        <v>207076.8</v>
      </c>
      <c r="Z70" s="4"/>
      <c r="AA70" s="4"/>
      <c r="AB70" s="4"/>
    </row>
    <row r="71" spans="1:245" ht="13" x14ac:dyDescent="0.3">
      <c r="A71" s="4">
        <v>50</v>
      </c>
      <c r="B71" s="4">
        <v>0</v>
      </c>
      <c r="C71" s="4">
        <v>0</v>
      </c>
      <c r="D71" s="4">
        <v>1</v>
      </c>
      <c r="E71" s="4">
        <v>224</v>
      </c>
      <c r="F71" s="4">
        <f>ROUND(Source!AR43,O71)</f>
        <v>14809678.58</v>
      </c>
      <c r="G71" s="4" t="s">
        <v>119</v>
      </c>
      <c r="H71" s="4" t="s">
        <v>120</v>
      </c>
      <c r="I71" s="4"/>
      <c r="J71" s="4"/>
      <c r="K71" s="4">
        <v>224</v>
      </c>
      <c r="L71" s="4">
        <v>27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14809678.58</v>
      </c>
      <c r="X71" s="4">
        <v>1</v>
      </c>
      <c r="Y71" s="4">
        <v>14809678.58</v>
      </c>
      <c r="Z71" s="4"/>
      <c r="AA71" s="4"/>
      <c r="AB71" s="4"/>
    </row>
    <row r="73" spans="1:245" ht="13" x14ac:dyDescent="0.3">
      <c r="A73" s="1">
        <v>5</v>
      </c>
      <c r="B73" s="1">
        <v>1</v>
      </c>
      <c r="C73" s="1"/>
      <c r="D73" s="1">
        <f>ROW(A83)</f>
        <v>83</v>
      </c>
      <c r="E73" s="1"/>
      <c r="F73" s="1" t="s">
        <v>16</v>
      </c>
      <c r="G73" s="1" t="s">
        <v>263</v>
      </c>
      <c r="H73" s="1" t="s">
        <v>3</v>
      </c>
      <c r="I73" s="1">
        <v>0</v>
      </c>
      <c r="J73" s="1"/>
      <c r="K73" s="1">
        <v>0</v>
      </c>
      <c r="L73" s="1"/>
      <c r="M73" s="1" t="s">
        <v>3</v>
      </c>
      <c r="N73" s="1"/>
      <c r="O73" s="1"/>
      <c r="P73" s="1"/>
      <c r="Q73" s="1"/>
      <c r="R73" s="1"/>
      <c r="S73" s="1">
        <v>0</v>
      </c>
      <c r="T73" s="1"/>
      <c r="U73" s="1" t="s">
        <v>3</v>
      </c>
      <c r="V73" s="1">
        <v>0</v>
      </c>
      <c r="W73" s="1"/>
      <c r="X73" s="1"/>
      <c r="Y73" s="1"/>
      <c r="Z73" s="1"/>
      <c r="AA73" s="1"/>
      <c r="AB73" s="1" t="s">
        <v>3</v>
      </c>
      <c r="AC73" s="1" t="s">
        <v>3</v>
      </c>
      <c r="AD73" s="1" t="s">
        <v>3</v>
      </c>
      <c r="AE73" s="1" t="s">
        <v>3</v>
      </c>
      <c r="AF73" s="1" t="s">
        <v>3</v>
      </c>
      <c r="AG73" s="1" t="s">
        <v>3</v>
      </c>
      <c r="AH73" s="1"/>
      <c r="AI73" s="1"/>
      <c r="AJ73" s="1"/>
      <c r="AK73" s="1"/>
      <c r="AL73" s="1"/>
      <c r="AM73" s="1"/>
      <c r="AN73" s="1"/>
      <c r="AO73" s="1"/>
      <c r="AP73" s="1" t="s">
        <v>3</v>
      </c>
      <c r="AQ73" s="1" t="s">
        <v>3</v>
      </c>
      <c r="AR73" s="1" t="s">
        <v>3</v>
      </c>
      <c r="AS73" s="1"/>
      <c r="AT73" s="1"/>
      <c r="AU73" s="1"/>
      <c r="AV73" s="1"/>
      <c r="AW73" s="1"/>
      <c r="AX73" s="1"/>
      <c r="AY73" s="1"/>
      <c r="AZ73" s="1" t="s">
        <v>3</v>
      </c>
      <c r="BA73" s="1"/>
      <c r="BB73" s="1" t="s">
        <v>3</v>
      </c>
      <c r="BC73" s="1" t="s">
        <v>3</v>
      </c>
      <c r="BD73" s="1" t="s">
        <v>3</v>
      </c>
      <c r="BE73" s="1" t="s">
        <v>3</v>
      </c>
      <c r="BF73" s="1" t="s">
        <v>3</v>
      </c>
      <c r="BG73" s="1" t="s">
        <v>3</v>
      </c>
      <c r="BH73" s="1" t="s">
        <v>3</v>
      </c>
      <c r="BI73" s="1" t="s">
        <v>3</v>
      </c>
      <c r="BJ73" s="1" t="s">
        <v>3</v>
      </c>
      <c r="BK73" s="1" t="s">
        <v>3</v>
      </c>
      <c r="BL73" s="1" t="s">
        <v>3</v>
      </c>
      <c r="BM73" s="1" t="s">
        <v>3</v>
      </c>
      <c r="BN73" s="1" t="s">
        <v>3</v>
      </c>
      <c r="BO73" s="1" t="s">
        <v>3</v>
      </c>
      <c r="BP73" s="1" t="s">
        <v>3</v>
      </c>
      <c r="BQ73" s="1"/>
      <c r="BR73" s="1"/>
      <c r="BS73" s="1"/>
      <c r="BT73" s="1"/>
      <c r="BU73" s="1"/>
      <c r="BV73" s="1"/>
      <c r="BW73" s="1"/>
      <c r="BX73" s="1">
        <v>0</v>
      </c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>
        <v>0</v>
      </c>
    </row>
    <row r="75" spans="1:245" ht="13" x14ac:dyDescent="0.3">
      <c r="A75" s="2">
        <v>52</v>
      </c>
      <c r="B75" s="2">
        <f t="shared" ref="B75:G75" si="62">B83</f>
        <v>1</v>
      </c>
      <c r="C75" s="2">
        <f t="shared" si="62"/>
        <v>5</v>
      </c>
      <c r="D75" s="2">
        <f t="shared" si="62"/>
        <v>73</v>
      </c>
      <c r="E75" s="2">
        <f t="shared" si="62"/>
        <v>0</v>
      </c>
      <c r="F75" s="2" t="str">
        <f t="shared" si="62"/>
        <v>Новый подраздел</v>
      </c>
      <c r="G75" s="2" t="str">
        <f t="shared" si="62"/>
        <v xml:space="preserve">Подраздел: ЛЕТНЯЯ УБОРКА </v>
      </c>
      <c r="H75" s="2"/>
      <c r="I75" s="2"/>
      <c r="J75" s="2"/>
      <c r="K75" s="2"/>
      <c r="L75" s="2"/>
      <c r="M75" s="2"/>
      <c r="N75" s="2"/>
      <c r="O75" s="2">
        <f t="shared" ref="O75:AT75" si="63">O83</f>
        <v>1967531.39</v>
      </c>
      <c r="P75" s="2">
        <f t="shared" si="63"/>
        <v>10461.290000000001</v>
      </c>
      <c r="Q75" s="2">
        <f t="shared" si="63"/>
        <v>1562421.25</v>
      </c>
      <c r="R75" s="2">
        <f t="shared" si="63"/>
        <v>738495.42</v>
      </c>
      <c r="S75" s="2">
        <f t="shared" si="63"/>
        <v>394648.85</v>
      </c>
      <c r="T75" s="2">
        <f t="shared" si="63"/>
        <v>0</v>
      </c>
      <c r="U75" s="2">
        <f t="shared" si="63"/>
        <v>870.9148560000001</v>
      </c>
      <c r="V75" s="2">
        <f t="shared" si="63"/>
        <v>0</v>
      </c>
      <c r="W75" s="2">
        <f t="shared" si="63"/>
        <v>0</v>
      </c>
      <c r="X75" s="2">
        <f t="shared" si="63"/>
        <v>276254.2</v>
      </c>
      <c r="Y75" s="2">
        <f t="shared" si="63"/>
        <v>39464.89</v>
      </c>
      <c r="Z75" s="2">
        <f t="shared" si="63"/>
        <v>0</v>
      </c>
      <c r="AA75" s="2">
        <f t="shared" si="63"/>
        <v>0</v>
      </c>
      <c r="AB75" s="2">
        <f t="shared" si="63"/>
        <v>1967531.39</v>
      </c>
      <c r="AC75" s="2">
        <f t="shared" si="63"/>
        <v>10461.290000000001</v>
      </c>
      <c r="AD75" s="2">
        <f t="shared" si="63"/>
        <v>1562421.25</v>
      </c>
      <c r="AE75" s="2">
        <f t="shared" si="63"/>
        <v>738495.42</v>
      </c>
      <c r="AF75" s="2">
        <f t="shared" si="63"/>
        <v>394648.85</v>
      </c>
      <c r="AG75" s="2">
        <f t="shared" si="63"/>
        <v>0</v>
      </c>
      <c r="AH75" s="2">
        <f t="shared" si="63"/>
        <v>870.9148560000001</v>
      </c>
      <c r="AI75" s="2">
        <f t="shared" si="63"/>
        <v>0</v>
      </c>
      <c r="AJ75" s="2">
        <f t="shared" si="63"/>
        <v>0</v>
      </c>
      <c r="AK75" s="2">
        <f t="shared" si="63"/>
        <v>276254.2</v>
      </c>
      <c r="AL75" s="2">
        <f t="shared" si="63"/>
        <v>39464.89</v>
      </c>
      <c r="AM75" s="2">
        <f t="shared" si="63"/>
        <v>0</v>
      </c>
      <c r="AN75" s="2">
        <f t="shared" si="63"/>
        <v>0</v>
      </c>
      <c r="AO75" s="2">
        <f t="shared" si="63"/>
        <v>0</v>
      </c>
      <c r="AP75" s="2">
        <f t="shared" si="63"/>
        <v>0</v>
      </c>
      <c r="AQ75" s="2">
        <f t="shared" si="63"/>
        <v>0</v>
      </c>
      <c r="AR75" s="2">
        <f t="shared" si="63"/>
        <v>3080825.53</v>
      </c>
      <c r="AS75" s="2">
        <f t="shared" si="63"/>
        <v>0</v>
      </c>
      <c r="AT75" s="2">
        <f t="shared" si="63"/>
        <v>0</v>
      </c>
      <c r="AU75" s="2">
        <f t="shared" ref="AU75:BZ75" si="64">AU83</f>
        <v>3080825.53</v>
      </c>
      <c r="AV75" s="2">
        <f t="shared" si="64"/>
        <v>10461.290000000001</v>
      </c>
      <c r="AW75" s="2">
        <f t="shared" si="64"/>
        <v>10461.290000000001</v>
      </c>
      <c r="AX75" s="2">
        <f t="shared" si="64"/>
        <v>0</v>
      </c>
      <c r="AY75" s="2">
        <f t="shared" si="64"/>
        <v>10461.290000000001</v>
      </c>
      <c r="AZ75" s="2">
        <f t="shared" si="64"/>
        <v>0</v>
      </c>
      <c r="BA75" s="2">
        <f t="shared" si="64"/>
        <v>0</v>
      </c>
      <c r="BB75" s="2">
        <f t="shared" si="64"/>
        <v>0</v>
      </c>
      <c r="BC75" s="2">
        <f t="shared" si="64"/>
        <v>0</v>
      </c>
      <c r="BD75" s="2">
        <f t="shared" si="64"/>
        <v>0</v>
      </c>
      <c r="BE75" s="2">
        <f t="shared" si="64"/>
        <v>0</v>
      </c>
      <c r="BF75" s="2">
        <f t="shared" si="64"/>
        <v>0</v>
      </c>
      <c r="BG75" s="2">
        <f t="shared" si="64"/>
        <v>0</v>
      </c>
      <c r="BH75" s="2">
        <f t="shared" si="64"/>
        <v>0</v>
      </c>
      <c r="BI75" s="2">
        <f t="shared" si="64"/>
        <v>0</v>
      </c>
      <c r="BJ75" s="2">
        <f t="shared" si="64"/>
        <v>0</v>
      </c>
      <c r="BK75" s="2">
        <f t="shared" si="64"/>
        <v>0</v>
      </c>
      <c r="BL75" s="2">
        <f t="shared" si="64"/>
        <v>0</v>
      </c>
      <c r="BM75" s="2">
        <f t="shared" si="64"/>
        <v>0</v>
      </c>
      <c r="BN75" s="2">
        <f t="shared" si="64"/>
        <v>0</v>
      </c>
      <c r="BO75" s="2">
        <f t="shared" si="64"/>
        <v>0</v>
      </c>
      <c r="BP75" s="2">
        <f t="shared" si="64"/>
        <v>0</v>
      </c>
      <c r="BQ75" s="2">
        <f t="shared" si="64"/>
        <v>0</v>
      </c>
      <c r="BR75" s="2">
        <f t="shared" si="64"/>
        <v>0</v>
      </c>
      <c r="BS75" s="2">
        <f t="shared" si="64"/>
        <v>0</v>
      </c>
      <c r="BT75" s="2">
        <f t="shared" si="64"/>
        <v>0</v>
      </c>
      <c r="BU75" s="2">
        <f t="shared" si="64"/>
        <v>0</v>
      </c>
      <c r="BV75" s="2">
        <f t="shared" si="64"/>
        <v>0</v>
      </c>
      <c r="BW75" s="2">
        <f t="shared" si="64"/>
        <v>0</v>
      </c>
      <c r="BX75" s="2">
        <f t="shared" si="64"/>
        <v>0</v>
      </c>
      <c r="BY75" s="2">
        <f t="shared" si="64"/>
        <v>0</v>
      </c>
      <c r="BZ75" s="2">
        <f t="shared" si="64"/>
        <v>0</v>
      </c>
      <c r="CA75" s="2">
        <f t="shared" ref="CA75:DF75" si="65">CA83</f>
        <v>3080825.53</v>
      </c>
      <c r="CB75" s="2">
        <f t="shared" si="65"/>
        <v>0</v>
      </c>
      <c r="CC75" s="2">
        <f t="shared" si="65"/>
        <v>0</v>
      </c>
      <c r="CD75" s="2">
        <f t="shared" si="65"/>
        <v>3080825.53</v>
      </c>
      <c r="CE75" s="2">
        <f t="shared" si="65"/>
        <v>10461.290000000001</v>
      </c>
      <c r="CF75" s="2">
        <f t="shared" si="65"/>
        <v>10461.290000000001</v>
      </c>
      <c r="CG75" s="2">
        <f t="shared" si="65"/>
        <v>0</v>
      </c>
      <c r="CH75" s="2">
        <f t="shared" si="65"/>
        <v>10461.290000000001</v>
      </c>
      <c r="CI75" s="2">
        <f t="shared" si="65"/>
        <v>0</v>
      </c>
      <c r="CJ75" s="2">
        <f t="shared" si="65"/>
        <v>0</v>
      </c>
      <c r="CK75" s="2">
        <f t="shared" si="65"/>
        <v>0</v>
      </c>
      <c r="CL75" s="2">
        <f t="shared" si="65"/>
        <v>0</v>
      </c>
      <c r="CM75" s="2">
        <f t="shared" si="65"/>
        <v>0</v>
      </c>
      <c r="CN75" s="2">
        <f t="shared" si="65"/>
        <v>0</v>
      </c>
      <c r="CO75" s="2">
        <f t="shared" si="65"/>
        <v>0</v>
      </c>
      <c r="CP75" s="2">
        <f t="shared" si="65"/>
        <v>0</v>
      </c>
      <c r="CQ75" s="2">
        <f t="shared" si="65"/>
        <v>0</v>
      </c>
      <c r="CR75" s="2">
        <f t="shared" si="65"/>
        <v>0</v>
      </c>
      <c r="CS75" s="2">
        <f t="shared" si="65"/>
        <v>0</v>
      </c>
      <c r="CT75" s="2">
        <f t="shared" si="65"/>
        <v>0</v>
      </c>
      <c r="CU75" s="2">
        <f t="shared" si="65"/>
        <v>0</v>
      </c>
      <c r="CV75" s="2">
        <f t="shared" si="65"/>
        <v>0</v>
      </c>
      <c r="CW75" s="2">
        <f t="shared" si="65"/>
        <v>0</v>
      </c>
      <c r="CX75" s="2">
        <f t="shared" si="65"/>
        <v>0</v>
      </c>
      <c r="CY75" s="2">
        <f t="shared" si="65"/>
        <v>0</v>
      </c>
      <c r="CZ75" s="2">
        <f t="shared" si="65"/>
        <v>0</v>
      </c>
      <c r="DA75" s="2">
        <f t="shared" si="65"/>
        <v>0</v>
      </c>
      <c r="DB75" s="2">
        <f t="shared" si="65"/>
        <v>0</v>
      </c>
      <c r="DC75" s="2">
        <f t="shared" si="65"/>
        <v>0</v>
      </c>
      <c r="DD75" s="2">
        <f t="shared" si="65"/>
        <v>0</v>
      </c>
      <c r="DE75" s="2">
        <f t="shared" si="65"/>
        <v>0</v>
      </c>
      <c r="DF75" s="2">
        <f t="shared" si="65"/>
        <v>0</v>
      </c>
      <c r="DG75" s="3">
        <f t="shared" ref="DG75:EL75" si="66">DG83</f>
        <v>0</v>
      </c>
      <c r="DH75" s="3">
        <f t="shared" si="66"/>
        <v>0</v>
      </c>
      <c r="DI75" s="3">
        <f t="shared" si="66"/>
        <v>0</v>
      </c>
      <c r="DJ75" s="3">
        <f t="shared" si="66"/>
        <v>0</v>
      </c>
      <c r="DK75" s="3">
        <f t="shared" si="66"/>
        <v>0</v>
      </c>
      <c r="DL75" s="3">
        <f t="shared" si="66"/>
        <v>0</v>
      </c>
      <c r="DM75" s="3">
        <f t="shared" si="66"/>
        <v>0</v>
      </c>
      <c r="DN75" s="3">
        <f t="shared" si="66"/>
        <v>0</v>
      </c>
      <c r="DO75" s="3">
        <f t="shared" si="66"/>
        <v>0</v>
      </c>
      <c r="DP75" s="3">
        <f t="shared" si="66"/>
        <v>0</v>
      </c>
      <c r="DQ75" s="3">
        <f t="shared" si="66"/>
        <v>0</v>
      </c>
      <c r="DR75" s="3">
        <f t="shared" si="66"/>
        <v>0</v>
      </c>
      <c r="DS75" s="3">
        <f t="shared" si="66"/>
        <v>0</v>
      </c>
      <c r="DT75" s="3">
        <f t="shared" si="66"/>
        <v>0</v>
      </c>
      <c r="DU75" s="3">
        <f t="shared" si="66"/>
        <v>0</v>
      </c>
      <c r="DV75" s="3">
        <f t="shared" si="66"/>
        <v>0</v>
      </c>
      <c r="DW75" s="3">
        <f t="shared" si="66"/>
        <v>0</v>
      </c>
      <c r="DX75" s="3">
        <f t="shared" si="66"/>
        <v>0</v>
      </c>
      <c r="DY75" s="3">
        <f t="shared" si="66"/>
        <v>0</v>
      </c>
      <c r="DZ75" s="3">
        <f t="shared" si="66"/>
        <v>0</v>
      </c>
      <c r="EA75" s="3">
        <f t="shared" si="66"/>
        <v>0</v>
      </c>
      <c r="EB75" s="3">
        <f t="shared" si="66"/>
        <v>0</v>
      </c>
      <c r="EC75" s="3">
        <f t="shared" si="66"/>
        <v>0</v>
      </c>
      <c r="ED75" s="3">
        <f t="shared" si="66"/>
        <v>0</v>
      </c>
      <c r="EE75" s="3">
        <f t="shared" si="66"/>
        <v>0</v>
      </c>
      <c r="EF75" s="3">
        <f t="shared" si="66"/>
        <v>0</v>
      </c>
      <c r="EG75" s="3">
        <f t="shared" si="66"/>
        <v>0</v>
      </c>
      <c r="EH75" s="3">
        <f t="shared" si="66"/>
        <v>0</v>
      </c>
      <c r="EI75" s="3">
        <f t="shared" si="66"/>
        <v>0</v>
      </c>
      <c r="EJ75" s="3">
        <f t="shared" si="66"/>
        <v>0</v>
      </c>
      <c r="EK75" s="3">
        <f t="shared" si="66"/>
        <v>0</v>
      </c>
      <c r="EL75" s="3">
        <f t="shared" si="66"/>
        <v>0</v>
      </c>
      <c r="EM75" s="3">
        <f t="shared" ref="EM75:FR75" si="67">EM83</f>
        <v>0</v>
      </c>
      <c r="EN75" s="3">
        <f t="shared" si="67"/>
        <v>0</v>
      </c>
      <c r="EO75" s="3">
        <f t="shared" si="67"/>
        <v>0</v>
      </c>
      <c r="EP75" s="3">
        <f t="shared" si="67"/>
        <v>0</v>
      </c>
      <c r="EQ75" s="3">
        <f t="shared" si="67"/>
        <v>0</v>
      </c>
      <c r="ER75" s="3">
        <f t="shared" si="67"/>
        <v>0</v>
      </c>
      <c r="ES75" s="3">
        <f t="shared" si="67"/>
        <v>0</v>
      </c>
      <c r="ET75" s="3">
        <f t="shared" si="67"/>
        <v>0</v>
      </c>
      <c r="EU75" s="3">
        <f t="shared" si="67"/>
        <v>0</v>
      </c>
      <c r="EV75" s="3">
        <f t="shared" si="67"/>
        <v>0</v>
      </c>
      <c r="EW75" s="3">
        <f t="shared" si="67"/>
        <v>0</v>
      </c>
      <c r="EX75" s="3">
        <f t="shared" si="67"/>
        <v>0</v>
      </c>
      <c r="EY75" s="3">
        <f t="shared" si="67"/>
        <v>0</v>
      </c>
      <c r="EZ75" s="3">
        <f t="shared" si="67"/>
        <v>0</v>
      </c>
      <c r="FA75" s="3">
        <f t="shared" si="67"/>
        <v>0</v>
      </c>
      <c r="FB75" s="3">
        <f t="shared" si="67"/>
        <v>0</v>
      </c>
      <c r="FC75" s="3">
        <f t="shared" si="67"/>
        <v>0</v>
      </c>
      <c r="FD75" s="3">
        <f t="shared" si="67"/>
        <v>0</v>
      </c>
      <c r="FE75" s="3">
        <f t="shared" si="67"/>
        <v>0</v>
      </c>
      <c r="FF75" s="3">
        <f t="shared" si="67"/>
        <v>0</v>
      </c>
      <c r="FG75" s="3">
        <f t="shared" si="67"/>
        <v>0</v>
      </c>
      <c r="FH75" s="3">
        <f t="shared" si="67"/>
        <v>0</v>
      </c>
      <c r="FI75" s="3">
        <f t="shared" si="67"/>
        <v>0</v>
      </c>
      <c r="FJ75" s="3">
        <f t="shared" si="67"/>
        <v>0</v>
      </c>
      <c r="FK75" s="3">
        <f t="shared" si="67"/>
        <v>0</v>
      </c>
      <c r="FL75" s="3">
        <f t="shared" si="67"/>
        <v>0</v>
      </c>
      <c r="FM75" s="3">
        <f t="shared" si="67"/>
        <v>0</v>
      </c>
      <c r="FN75" s="3">
        <f t="shared" si="67"/>
        <v>0</v>
      </c>
      <c r="FO75" s="3">
        <f t="shared" si="67"/>
        <v>0</v>
      </c>
      <c r="FP75" s="3">
        <f t="shared" si="67"/>
        <v>0</v>
      </c>
      <c r="FQ75" s="3">
        <f t="shared" si="67"/>
        <v>0</v>
      </c>
      <c r="FR75" s="3">
        <f t="shared" si="67"/>
        <v>0</v>
      </c>
      <c r="FS75" s="3">
        <f t="shared" ref="FS75:GX75" si="68">FS83</f>
        <v>0</v>
      </c>
      <c r="FT75" s="3">
        <f t="shared" si="68"/>
        <v>0</v>
      </c>
      <c r="FU75" s="3">
        <f t="shared" si="68"/>
        <v>0</v>
      </c>
      <c r="FV75" s="3">
        <f t="shared" si="68"/>
        <v>0</v>
      </c>
      <c r="FW75" s="3">
        <f t="shared" si="68"/>
        <v>0</v>
      </c>
      <c r="FX75" s="3">
        <f t="shared" si="68"/>
        <v>0</v>
      </c>
      <c r="FY75" s="3">
        <f t="shared" si="68"/>
        <v>0</v>
      </c>
      <c r="FZ75" s="3">
        <f t="shared" si="68"/>
        <v>0</v>
      </c>
      <c r="GA75" s="3">
        <f t="shared" si="68"/>
        <v>0</v>
      </c>
      <c r="GB75" s="3">
        <f t="shared" si="68"/>
        <v>0</v>
      </c>
      <c r="GC75" s="3">
        <f t="shared" si="68"/>
        <v>0</v>
      </c>
      <c r="GD75" s="3">
        <f t="shared" si="68"/>
        <v>0</v>
      </c>
      <c r="GE75" s="3">
        <f t="shared" si="68"/>
        <v>0</v>
      </c>
      <c r="GF75" s="3">
        <f t="shared" si="68"/>
        <v>0</v>
      </c>
      <c r="GG75" s="3">
        <f t="shared" si="68"/>
        <v>0</v>
      </c>
      <c r="GH75" s="3">
        <f t="shared" si="68"/>
        <v>0</v>
      </c>
      <c r="GI75" s="3">
        <f t="shared" si="68"/>
        <v>0</v>
      </c>
      <c r="GJ75" s="3">
        <f t="shared" si="68"/>
        <v>0</v>
      </c>
      <c r="GK75" s="3">
        <f t="shared" si="68"/>
        <v>0</v>
      </c>
      <c r="GL75" s="3">
        <f t="shared" si="68"/>
        <v>0</v>
      </c>
      <c r="GM75" s="3">
        <f t="shared" si="68"/>
        <v>0</v>
      </c>
      <c r="GN75" s="3">
        <f t="shared" si="68"/>
        <v>0</v>
      </c>
      <c r="GO75" s="3">
        <f t="shared" si="68"/>
        <v>0</v>
      </c>
      <c r="GP75" s="3">
        <f t="shared" si="68"/>
        <v>0</v>
      </c>
      <c r="GQ75" s="3">
        <f t="shared" si="68"/>
        <v>0</v>
      </c>
      <c r="GR75" s="3">
        <f t="shared" si="68"/>
        <v>0</v>
      </c>
      <c r="GS75" s="3">
        <f t="shared" si="68"/>
        <v>0</v>
      </c>
      <c r="GT75" s="3">
        <f t="shared" si="68"/>
        <v>0</v>
      </c>
      <c r="GU75" s="3">
        <f t="shared" si="68"/>
        <v>0</v>
      </c>
      <c r="GV75" s="3">
        <f t="shared" si="68"/>
        <v>0</v>
      </c>
      <c r="GW75" s="3">
        <f t="shared" si="68"/>
        <v>0</v>
      </c>
      <c r="GX75" s="3">
        <f t="shared" si="68"/>
        <v>0</v>
      </c>
    </row>
    <row r="77" spans="1:245" x14ac:dyDescent="0.25">
      <c r="A77">
        <v>17</v>
      </c>
      <c r="B77">
        <v>1</v>
      </c>
      <c r="C77">
        <f>ROW(SmtRes!A16)</f>
        <v>16</v>
      </c>
      <c r="D77">
        <f>ROW(EtalonRes!A16)</f>
        <v>16</v>
      </c>
      <c r="E77" t="s">
        <v>121</v>
      </c>
      <c r="F77" t="s">
        <v>32</v>
      </c>
      <c r="G77" t="s">
        <v>33</v>
      </c>
      <c r="H77" t="s">
        <v>20</v>
      </c>
      <c r="I77">
        <v>43.654879999999999</v>
      </c>
      <c r="J77">
        <v>0</v>
      </c>
      <c r="K77">
        <v>43.654879999999999</v>
      </c>
      <c r="O77">
        <f>ROUND(CP77,2)</f>
        <v>1180985.43</v>
      </c>
      <c r="P77">
        <f>ROUND(CQ77*I77,2)</f>
        <v>27272.080000000002</v>
      </c>
      <c r="Q77">
        <f>ROUND(CR77*I77,2)</f>
        <v>1153713.3500000001</v>
      </c>
      <c r="R77">
        <f>ROUND(CS77*I77,2)</f>
        <v>545317.12</v>
      </c>
      <c r="S77">
        <f>ROUND(CT77*I77,2)</f>
        <v>0</v>
      </c>
      <c r="T77">
        <f>ROUND(CU77*I77,2)</f>
        <v>0</v>
      </c>
      <c r="U77">
        <f>CV77*I77</f>
        <v>0</v>
      </c>
      <c r="V77">
        <f>CW77*I77</f>
        <v>0</v>
      </c>
      <c r="W77">
        <f>ROUND(CX77*I77,2)</f>
        <v>0</v>
      </c>
      <c r="X77">
        <f t="shared" ref="X77:Y81" si="69">ROUND(CY77,2)</f>
        <v>0</v>
      </c>
      <c r="Y77">
        <f t="shared" si="69"/>
        <v>0</v>
      </c>
      <c r="AA77">
        <v>80891843</v>
      </c>
      <c r="AB77">
        <f>ROUND((AC77+AD77+AF77),6)</f>
        <v>27052.77</v>
      </c>
      <c r="AC77">
        <f>ROUND(((ES77*57)),6)</f>
        <v>624.72</v>
      </c>
      <c r="AD77">
        <f>ROUND(((((ET77*57))-((EU77*57)))+AE77),6)</f>
        <v>26428.05</v>
      </c>
      <c r="AE77">
        <f>ROUND(((EU77*57)),6)</f>
        <v>12491.55</v>
      </c>
      <c r="AF77">
        <f>ROUND(((EV77*57)),6)</f>
        <v>0</v>
      </c>
      <c r="AG77">
        <f>ROUND((AP77),6)</f>
        <v>0</v>
      </c>
      <c r="AH77">
        <f>((EW77*57))</f>
        <v>0</v>
      </c>
      <c r="AI77">
        <f>((EX77*57))</f>
        <v>0</v>
      </c>
      <c r="AJ77">
        <f>(AS77)</f>
        <v>0</v>
      </c>
      <c r="AK77">
        <v>474.61</v>
      </c>
      <c r="AL77">
        <v>10.96</v>
      </c>
      <c r="AM77">
        <v>463.65</v>
      </c>
      <c r="AN77">
        <v>219.15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70</v>
      </c>
      <c r="AU77">
        <v>10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0</v>
      </c>
      <c r="BI77">
        <v>4</v>
      </c>
      <c r="BJ77" t="s">
        <v>34</v>
      </c>
      <c r="BM77">
        <v>0</v>
      </c>
      <c r="BN77">
        <v>0</v>
      </c>
      <c r="BO77" t="s">
        <v>3</v>
      </c>
      <c r="BP77">
        <v>0</v>
      </c>
      <c r="BQ77">
        <v>1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70</v>
      </c>
      <c r="CA77">
        <v>10</v>
      </c>
      <c r="CB77" t="s">
        <v>3</v>
      </c>
      <c r="CE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>(P77+Q77+S77)</f>
        <v>1180985.4300000002</v>
      </c>
      <c r="CQ77">
        <f>(AC77*BC77*AW77)</f>
        <v>624.72</v>
      </c>
      <c r="CR77">
        <f>(((((ET77*57))*BB77-((EU77*57))*BS77)+AE77*BS77)*AV77)</f>
        <v>26428.049999999996</v>
      </c>
      <c r="CS77">
        <f>(AE77*BS77*AV77)</f>
        <v>12491.55</v>
      </c>
      <c r="CT77">
        <f>(AF77*BA77*AV77)</f>
        <v>0</v>
      </c>
      <c r="CU77">
        <f>AG77</f>
        <v>0</v>
      </c>
      <c r="CV77">
        <f>(AH77*AV77)</f>
        <v>0</v>
      </c>
      <c r="CW77">
        <f t="shared" ref="CW77:CX81" si="70">AI77</f>
        <v>0</v>
      </c>
      <c r="CX77">
        <f t="shared" si="70"/>
        <v>0</v>
      </c>
      <c r="CY77">
        <f>((S77*BZ77)/100)</f>
        <v>0</v>
      </c>
      <c r="CZ77">
        <f>((S77*CA77)/100)</f>
        <v>0</v>
      </c>
      <c r="DC77" t="s">
        <v>3</v>
      </c>
      <c r="DD77" t="s">
        <v>122</v>
      </c>
      <c r="DE77" t="s">
        <v>122</v>
      </c>
      <c r="DF77" t="s">
        <v>122</v>
      </c>
      <c r="DG77" t="s">
        <v>122</v>
      </c>
      <c r="DH77" t="s">
        <v>3</v>
      </c>
      <c r="DI77" t="s">
        <v>122</v>
      </c>
      <c r="DJ77" t="s">
        <v>122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1005</v>
      </c>
      <c r="DV77" t="s">
        <v>20</v>
      </c>
      <c r="DW77" t="s">
        <v>20</v>
      </c>
      <c r="DX77">
        <v>1000</v>
      </c>
      <c r="DZ77" t="s">
        <v>3</v>
      </c>
      <c r="EA77" t="s">
        <v>3</v>
      </c>
      <c r="EB77" t="s">
        <v>3</v>
      </c>
      <c r="EC77" t="s">
        <v>3</v>
      </c>
      <c r="EE77">
        <v>80196140</v>
      </c>
      <c r="EF77">
        <v>1</v>
      </c>
      <c r="EG77" t="s">
        <v>23</v>
      </c>
      <c r="EH77">
        <v>0</v>
      </c>
      <c r="EI77" t="s">
        <v>3</v>
      </c>
      <c r="EJ77">
        <v>4</v>
      </c>
      <c r="EK77">
        <v>0</v>
      </c>
      <c r="EL77" t="s">
        <v>24</v>
      </c>
      <c r="EM77" t="s">
        <v>25</v>
      </c>
      <c r="EO77" t="s">
        <v>3</v>
      </c>
      <c r="EQ77">
        <v>0</v>
      </c>
      <c r="ER77">
        <v>474.61</v>
      </c>
      <c r="ES77">
        <v>10.96</v>
      </c>
      <c r="ET77">
        <v>463.65</v>
      </c>
      <c r="EU77">
        <v>219.15</v>
      </c>
      <c r="EV77">
        <v>0</v>
      </c>
      <c r="EW77">
        <v>0</v>
      </c>
      <c r="EX77">
        <v>0</v>
      </c>
      <c r="EY77">
        <v>0</v>
      </c>
      <c r="FQ77">
        <v>0</v>
      </c>
      <c r="FR77">
        <v>0</v>
      </c>
      <c r="FS77">
        <v>0</v>
      </c>
      <c r="FX77">
        <v>70</v>
      </c>
      <c r="FY77">
        <v>10</v>
      </c>
      <c r="GA77" t="s">
        <v>3</v>
      </c>
      <c r="GD77">
        <v>0</v>
      </c>
      <c r="GF77">
        <v>-64890484</v>
      </c>
      <c r="GG77">
        <v>2</v>
      </c>
      <c r="GH77">
        <v>1</v>
      </c>
      <c r="GI77">
        <v>-2</v>
      </c>
      <c r="GJ77">
        <v>0</v>
      </c>
      <c r="GK77">
        <f>ROUND(R77*(R12)/100,2)</f>
        <v>588942.49</v>
      </c>
      <c r="GL77">
        <f>ROUND(IF(AND(BH77=3,BI77=3,FS77&lt;&gt;0),P77,0),2)</f>
        <v>0</v>
      </c>
      <c r="GM77">
        <f>ROUND(O77+X77+Y77+GK77,2)+GX77</f>
        <v>1769927.92</v>
      </c>
      <c r="GN77">
        <f>IF(OR(BI77=0,BI77=1),GM77-GX77,0)</f>
        <v>0</v>
      </c>
      <c r="GO77">
        <f>IF(BI77=2,GM77-GX77,0)</f>
        <v>0</v>
      </c>
      <c r="GP77">
        <f>IF(BI77=4,GM77-GX77,0)</f>
        <v>1769927.92</v>
      </c>
      <c r="GR77">
        <v>0</v>
      </c>
      <c r="GS77">
        <v>3</v>
      </c>
      <c r="GT77">
        <v>0</v>
      </c>
      <c r="GU77" t="s">
        <v>3</v>
      </c>
      <c r="GV77">
        <f>ROUND((GT77),6)</f>
        <v>0</v>
      </c>
      <c r="GW77">
        <v>1</v>
      </c>
      <c r="GX77">
        <f>ROUND(HC77*I77,2)</f>
        <v>0</v>
      </c>
      <c r="HA77">
        <v>0</v>
      </c>
      <c r="HB77">
        <v>0</v>
      </c>
      <c r="HC77">
        <f>GV77*GW77</f>
        <v>0</v>
      </c>
      <c r="HE77" t="s">
        <v>3</v>
      </c>
      <c r="HF77" t="s">
        <v>3</v>
      </c>
      <c r="HM77" t="s">
        <v>3</v>
      </c>
      <c r="HN77" t="s">
        <v>3</v>
      </c>
      <c r="HO77" t="s">
        <v>3</v>
      </c>
      <c r="HP77" t="s">
        <v>3</v>
      </c>
      <c r="HQ77" t="s">
        <v>3</v>
      </c>
      <c r="HS77">
        <v>0</v>
      </c>
      <c r="IK77">
        <v>0</v>
      </c>
    </row>
    <row r="78" spans="1:245" x14ac:dyDescent="0.25">
      <c r="A78">
        <v>18</v>
      </c>
      <c r="B78">
        <v>1</v>
      </c>
      <c r="C78">
        <v>16</v>
      </c>
      <c r="E78" t="s">
        <v>123</v>
      </c>
      <c r="F78" t="s">
        <v>37</v>
      </c>
      <c r="G78" t="s">
        <v>38</v>
      </c>
      <c r="H78" t="s">
        <v>39</v>
      </c>
      <c r="I78">
        <f>I77*J78</f>
        <v>-497.66563200000002</v>
      </c>
      <c r="J78">
        <v>-11.4</v>
      </c>
      <c r="K78">
        <v>-0.2</v>
      </c>
      <c r="O78">
        <f>ROUND(CP78,2)</f>
        <v>-27277.05</v>
      </c>
      <c r="P78">
        <f>ROUND(CQ78*I78,2)</f>
        <v>-27277.05</v>
      </c>
      <c r="Q78">
        <f>ROUND(CR78*I78,2)</f>
        <v>0</v>
      </c>
      <c r="R78">
        <f>ROUND(CS78*I78,2)</f>
        <v>0</v>
      </c>
      <c r="S78">
        <f>ROUND(CT78*I78,2)</f>
        <v>0</v>
      </c>
      <c r="T78">
        <f>ROUND(CU78*I78,2)</f>
        <v>0</v>
      </c>
      <c r="U78">
        <f>CV78*I78</f>
        <v>0</v>
      </c>
      <c r="V78">
        <f>CW78*I78</f>
        <v>0</v>
      </c>
      <c r="W78">
        <f>ROUND(CX78*I78,2)</f>
        <v>0</v>
      </c>
      <c r="X78">
        <f t="shared" si="69"/>
        <v>0</v>
      </c>
      <c r="Y78">
        <f t="shared" si="69"/>
        <v>0</v>
      </c>
      <c r="AA78">
        <v>80891843</v>
      </c>
      <c r="AB78">
        <f>ROUND((AC78+AD78+AF78),6)</f>
        <v>54.81</v>
      </c>
      <c r="AC78">
        <f>ROUND((ES78),6)</f>
        <v>54.81</v>
      </c>
      <c r="AD78">
        <f>ROUND((((ET78)-(EU78))+AE78),6)</f>
        <v>0</v>
      </c>
      <c r="AE78">
        <f>ROUND((EU78),6)</f>
        <v>0</v>
      </c>
      <c r="AF78">
        <f>ROUND((EV78),6)</f>
        <v>0</v>
      </c>
      <c r="AG78">
        <f>ROUND((AP78),6)</f>
        <v>0</v>
      </c>
      <c r="AH78">
        <f>(EW78)</f>
        <v>0</v>
      </c>
      <c r="AI78">
        <f>(EX78)</f>
        <v>0</v>
      </c>
      <c r="AJ78">
        <f>(AS78)</f>
        <v>0</v>
      </c>
      <c r="AK78">
        <v>54.81</v>
      </c>
      <c r="AL78">
        <v>54.81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70</v>
      </c>
      <c r="AU78">
        <v>10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3</v>
      </c>
      <c r="BI78">
        <v>4</v>
      </c>
      <c r="BJ78" t="s">
        <v>40</v>
      </c>
      <c r="BM78">
        <v>0</v>
      </c>
      <c r="BN78">
        <v>0</v>
      </c>
      <c r="BO78" t="s">
        <v>3</v>
      </c>
      <c r="BP78">
        <v>0</v>
      </c>
      <c r="BQ78">
        <v>1</v>
      </c>
      <c r="BR78">
        <v>1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70</v>
      </c>
      <c r="CA78">
        <v>10</v>
      </c>
      <c r="CB78" t="s">
        <v>3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>(P78+Q78+S78)</f>
        <v>-27277.05</v>
      </c>
      <c r="CQ78">
        <f>(AC78*BC78*AW78)</f>
        <v>54.81</v>
      </c>
      <c r="CR78">
        <f>((((ET78)*BB78-(EU78)*BS78)+AE78*BS78)*AV78)</f>
        <v>0</v>
      </c>
      <c r="CS78">
        <f>(AE78*BS78*AV78)</f>
        <v>0</v>
      </c>
      <c r="CT78">
        <f>(AF78*BA78*AV78)</f>
        <v>0</v>
      </c>
      <c r="CU78">
        <f>AG78</f>
        <v>0</v>
      </c>
      <c r="CV78">
        <f>(AH78*AV78)</f>
        <v>0</v>
      </c>
      <c r="CW78">
        <f t="shared" si="70"/>
        <v>0</v>
      </c>
      <c r="CX78">
        <f t="shared" si="70"/>
        <v>0</v>
      </c>
      <c r="CY78">
        <f>((S78*BZ78)/100)</f>
        <v>0</v>
      </c>
      <c r="CZ78">
        <f>((S78*CA78)/100)</f>
        <v>0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1007</v>
      </c>
      <c r="DV78" t="s">
        <v>39</v>
      </c>
      <c r="DW78" t="s">
        <v>39</v>
      </c>
      <c r="DX78">
        <v>1</v>
      </c>
      <c r="DZ78" t="s">
        <v>3</v>
      </c>
      <c r="EA78" t="s">
        <v>3</v>
      </c>
      <c r="EB78" t="s">
        <v>3</v>
      </c>
      <c r="EC78" t="s">
        <v>3</v>
      </c>
      <c r="EE78">
        <v>80196140</v>
      </c>
      <c r="EF78">
        <v>1</v>
      </c>
      <c r="EG78" t="s">
        <v>23</v>
      </c>
      <c r="EH78">
        <v>0</v>
      </c>
      <c r="EI78" t="s">
        <v>3</v>
      </c>
      <c r="EJ78">
        <v>4</v>
      </c>
      <c r="EK78">
        <v>0</v>
      </c>
      <c r="EL78" t="s">
        <v>24</v>
      </c>
      <c r="EM78" t="s">
        <v>25</v>
      </c>
      <c r="EO78" t="s">
        <v>3</v>
      </c>
      <c r="EQ78">
        <v>0</v>
      </c>
      <c r="ER78">
        <v>54.81</v>
      </c>
      <c r="ES78">
        <v>54.81</v>
      </c>
      <c r="ET78">
        <v>0</v>
      </c>
      <c r="EU78">
        <v>0</v>
      </c>
      <c r="EV78">
        <v>0</v>
      </c>
      <c r="EW78">
        <v>0</v>
      </c>
      <c r="EX78">
        <v>0</v>
      </c>
      <c r="FQ78">
        <v>0</v>
      </c>
      <c r="FR78">
        <v>0</v>
      </c>
      <c r="FS78">
        <v>0</v>
      </c>
      <c r="FX78">
        <v>70</v>
      </c>
      <c r="FY78">
        <v>10</v>
      </c>
      <c r="GA78" t="s">
        <v>3</v>
      </c>
      <c r="GD78">
        <v>0</v>
      </c>
      <c r="GF78">
        <v>2112060389</v>
      </c>
      <c r="GG78">
        <v>2</v>
      </c>
      <c r="GH78">
        <v>1</v>
      </c>
      <c r="GI78">
        <v>-2</v>
      </c>
      <c r="GJ78">
        <v>0</v>
      </c>
      <c r="GK78">
        <f>ROUND(R78*(R12)/100,2)</f>
        <v>0</v>
      </c>
      <c r="GL78">
        <f>ROUND(IF(AND(BH78=3,BI78=3,FS78&lt;&gt;0),P78,0),2)</f>
        <v>0</v>
      </c>
      <c r="GM78">
        <f>ROUND(O78+X78+Y78+GK78,2)+GX78</f>
        <v>-27277.05</v>
      </c>
      <c r="GN78">
        <f>IF(OR(BI78=0,BI78=1),GM78-GX78,0)</f>
        <v>0</v>
      </c>
      <c r="GO78">
        <f>IF(BI78=2,GM78-GX78,0)</f>
        <v>0</v>
      </c>
      <c r="GP78">
        <f>IF(BI78=4,GM78-GX78,0)</f>
        <v>-27277.05</v>
      </c>
      <c r="GR78">
        <v>0</v>
      </c>
      <c r="GS78">
        <v>3</v>
      </c>
      <c r="GT78">
        <v>0</v>
      </c>
      <c r="GU78" t="s">
        <v>3</v>
      </c>
      <c r="GV78">
        <f>ROUND((GT78),6)</f>
        <v>0</v>
      </c>
      <c r="GW78">
        <v>1</v>
      </c>
      <c r="GX78">
        <f>ROUND(HC78*I78,2)</f>
        <v>0</v>
      </c>
      <c r="HA78">
        <v>0</v>
      </c>
      <c r="HB78">
        <v>0</v>
      </c>
      <c r="HC78">
        <f>GV78*GW78</f>
        <v>0</v>
      </c>
      <c r="HE78" t="s">
        <v>3</v>
      </c>
      <c r="HF78" t="s">
        <v>3</v>
      </c>
      <c r="HM78" t="s">
        <v>122</v>
      </c>
      <c r="HN78" t="s">
        <v>3</v>
      </c>
      <c r="HO78" t="s">
        <v>3</v>
      </c>
      <c r="HP78" t="s">
        <v>3</v>
      </c>
      <c r="HQ78" t="s">
        <v>3</v>
      </c>
      <c r="HS78">
        <v>0</v>
      </c>
      <c r="IK78">
        <v>0</v>
      </c>
    </row>
    <row r="79" spans="1:245" x14ac:dyDescent="0.25">
      <c r="A79">
        <v>17</v>
      </c>
      <c r="B79">
        <v>1</v>
      </c>
      <c r="C79">
        <f>ROW(SmtRes!A17)</f>
        <v>17</v>
      </c>
      <c r="D79">
        <f>ROW(EtalonRes!A17)</f>
        <v>17</v>
      </c>
      <c r="E79" t="s">
        <v>124</v>
      </c>
      <c r="F79" t="s">
        <v>42</v>
      </c>
      <c r="G79" t="s">
        <v>43</v>
      </c>
      <c r="H79" t="s">
        <v>29</v>
      </c>
      <c r="I79">
        <v>109.13720000000001</v>
      </c>
      <c r="J79">
        <v>0</v>
      </c>
      <c r="K79">
        <v>109.13720000000001</v>
      </c>
      <c r="O79">
        <f>ROUND(CP79,2)</f>
        <v>394648.85</v>
      </c>
      <c r="P79">
        <f>ROUND(CQ79*I79,2)</f>
        <v>0</v>
      </c>
      <c r="Q79">
        <f>ROUND(CR79*I79,2)</f>
        <v>0</v>
      </c>
      <c r="R79">
        <f>ROUND(CS79*I79,2)</f>
        <v>0</v>
      </c>
      <c r="S79">
        <f>ROUND(CT79*I79,2)</f>
        <v>394648.85</v>
      </c>
      <c r="T79">
        <f>ROUND(CU79*I79,2)</f>
        <v>0</v>
      </c>
      <c r="U79">
        <f>CV79*I79</f>
        <v>870.9148560000001</v>
      </c>
      <c r="V79">
        <f>CW79*I79</f>
        <v>0</v>
      </c>
      <c r="W79">
        <f>ROUND(CX79*I79,2)</f>
        <v>0</v>
      </c>
      <c r="X79">
        <f t="shared" si="69"/>
        <v>276254.2</v>
      </c>
      <c r="Y79">
        <f t="shared" si="69"/>
        <v>39464.89</v>
      </c>
      <c r="AA79">
        <v>80891843</v>
      </c>
      <c r="AB79">
        <f>ROUND((AC79+AD79+AF79),6)</f>
        <v>3616.08</v>
      </c>
      <c r="AC79">
        <f>ROUND(((ES79*57)),6)</f>
        <v>0</v>
      </c>
      <c r="AD79">
        <f>ROUND(((((ET79*57))-((EU79*57)))+AE79),6)</f>
        <v>0</v>
      </c>
      <c r="AE79">
        <f>ROUND(((EU79*57)),6)</f>
        <v>0</v>
      </c>
      <c r="AF79">
        <f>ROUND(((EV79*57)),6)</f>
        <v>3616.08</v>
      </c>
      <c r="AG79">
        <f>ROUND((AP79),6)</f>
        <v>0</v>
      </c>
      <c r="AH79">
        <f>((EW79*57))</f>
        <v>7.98</v>
      </c>
      <c r="AI79">
        <f>((EX79*57))</f>
        <v>0</v>
      </c>
      <c r="AJ79">
        <f>(AS79)</f>
        <v>0</v>
      </c>
      <c r="AK79">
        <v>63.44</v>
      </c>
      <c r="AL79">
        <v>0</v>
      </c>
      <c r="AM79">
        <v>0</v>
      </c>
      <c r="AN79">
        <v>0</v>
      </c>
      <c r="AO79">
        <v>63.44</v>
      </c>
      <c r="AP79">
        <v>0</v>
      </c>
      <c r="AQ79">
        <v>0.14000000000000001</v>
      </c>
      <c r="AR79">
        <v>0</v>
      </c>
      <c r="AS79">
        <v>0</v>
      </c>
      <c r="AT79">
        <v>70</v>
      </c>
      <c r="AU79">
        <v>10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0</v>
      </c>
      <c r="BI79">
        <v>4</v>
      </c>
      <c r="BJ79" t="s">
        <v>44</v>
      </c>
      <c r="BM79">
        <v>0</v>
      </c>
      <c r="BN79">
        <v>0</v>
      </c>
      <c r="BO79" t="s">
        <v>3</v>
      </c>
      <c r="BP79">
        <v>0</v>
      </c>
      <c r="BQ79">
        <v>1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70</v>
      </c>
      <c r="CA79">
        <v>10</v>
      </c>
      <c r="CB79" t="s">
        <v>3</v>
      </c>
      <c r="CE79">
        <v>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>(P79+Q79+S79)</f>
        <v>394648.85</v>
      </c>
      <c r="CQ79">
        <f>(AC79*BC79*AW79)</f>
        <v>0</v>
      </c>
      <c r="CR79">
        <f>(((((ET79*57))*BB79-((EU79*57))*BS79)+AE79*BS79)*AV79)</f>
        <v>0</v>
      </c>
      <c r="CS79">
        <f>(AE79*BS79*AV79)</f>
        <v>0</v>
      </c>
      <c r="CT79">
        <f>(AF79*BA79*AV79)</f>
        <v>3616.08</v>
      </c>
      <c r="CU79">
        <f>AG79</f>
        <v>0</v>
      </c>
      <c r="CV79">
        <f>(AH79*AV79)</f>
        <v>7.98</v>
      </c>
      <c r="CW79">
        <f t="shared" si="70"/>
        <v>0</v>
      </c>
      <c r="CX79">
        <f t="shared" si="70"/>
        <v>0</v>
      </c>
      <c r="CY79">
        <f>((S79*BZ79)/100)</f>
        <v>276254.19500000001</v>
      </c>
      <c r="CZ79">
        <f>((S79*CA79)/100)</f>
        <v>39464.885000000002</v>
      </c>
      <c r="DC79" t="s">
        <v>3</v>
      </c>
      <c r="DD79" t="s">
        <v>122</v>
      </c>
      <c r="DE79" t="s">
        <v>122</v>
      </c>
      <c r="DF79" t="s">
        <v>122</v>
      </c>
      <c r="DG79" t="s">
        <v>122</v>
      </c>
      <c r="DH79" t="s">
        <v>3</v>
      </c>
      <c r="DI79" t="s">
        <v>122</v>
      </c>
      <c r="DJ79" t="s">
        <v>122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1005</v>
      </c>
      <c r="DV79" t="s">
        <v>29</v>
      </c>
      <c r="DW79" t="s">
        <v>29</v>
      </c>
      <c r="DX79">
        <v>100</v>
      </c>
      <c r="DZ79" t="s">
        <v>3</v>
      </c>
      <c r="EA79" t="s">
        <v>3</v>
      </c>
      <c r="EB79" t="s">
        <v>3</v>
      </c>
      <c r="EC79" t="s">
        <v>3</v>
      </c>
      <c r="EE79">
        <v>80196140</v>
      </c>
      <c r="EF79">
        <v>1</v>
      </c>
      <c r="EG79" t="s">
        <v>23</v>
      </c>
      <c r="EH79">
        <v>0</v>
      </c>
      <c r="EI79" t="s">
        <v>3</v>
      </c>
      <c r="EJ79">
        <v>4</v>
      </c>
      <c r="EK79">
        <v>0</v>
      </c>
      <c r="EL79" t="s">
        <v>24</v>
      </c>
      <c r="EM79" t="s">
        <v>25</v>
      </c>
      <c r="EO79" t="s">
        <v>3</v>
      </c>
      <c r="EQ79">
        <v>0</v>
      </c>
      <c r="ER79">
        <v>63.44</v>
      </c>
      <c r="ES79">
        <v>0</v>
      </c>
      <c r="ET79">
        <v>0</v>
      </c>
      <c r="EU79">
        <v>0</v>
      </c>
      <c r="EV79">
        <v>63.44</v>
      </c>
      <c r="EW79">
        <v>0.14000000000000001</v>
      </c>
      <c r="EX79">
        <v>0</v>
      </c>
      <c r="EY79">
        <v>0</v>
      </c>
      <c r="FQ79">
        <v>0</v>
      </c>
      <c r="FR79">
        <v>0</v>
      </c>
      <c r="FS79">
        <v>0</v>
      </c>
      <c r="FX79">
        <v>70</v>
      </c>
      <c r="FY79">
        <v>10</v>
      </c>
      <c r="GA79" t="s">
        <v>3</v>
      </c>
      <c r="GD79">
        <v>0</v>
      </c>
      <c r="GF79">
        <v>-502436687</v>
      </c>
      <c r="GG79">
        <v>2</v>
      </c>
      <c r="GH79">
        <v>1</v>
      </c>
      <c r="GI79">
        <v>-2</v>
      </c>
      <c r="GJ79">
        <v>0</v>
      </c>
      <c r="GK79">
        <f>ROUND(R79*(R12)/100,2)</f>
        <v>0</v>
      </c>
      <c r="GL79">
        <f>ROUND(IF(AND(BH79=3,BI79=3,FS79&lt;&gt;0),P79,0),2)</f>
        <v>0</v>
      </c>
      <c r="GM79">
        <f>ROUND(O79+X79+Y79+GK79,2)+GX79</f>
        <v>710367.94</v>
      </c>
      <c r="GN79">
        <f>IF(OR(BI79=0,BI79=1),GM79-GX79,0)</f>
        <v>0</v>
      </c>
      <c r="GO79">
        <f>IF(BI79=2,GM79-GX79,0)</f>
        <v>0</v>
      </c>
      <c r="GP79">
        <f>IF(BI79=4,GM79-GX79,0)</f>
        <v>710367.94</v>
      </c>
      <c r="GR79">
        <v>0</v>
      </c>
      <c r="GS79">
        <v>3</v>
      </c>
      <c r="GT79">
        <v>0</v>
      </c>
      <c r="GU79" t="s">
        <v>3</v>
      </c>
      <c r="GV79">
        <f>ROUND((GT79),6)</f>
        <v>0</v>
      </c>
      <c r="GW79">
        <v>1</v>
      </c>
      <c r="GX79">
        <f>ROUND(HC79*I79,2)</f>
        <v>0</v>
      </c>
      <c r="HA79">
        <v>0</v>
      </c>
      <c r="HB79">
        <v>0</v>
      </c>
      <c r="HC79">
        <f>GV79*GW79</f>
        <v>0</v>
      </c>
      <c r="HE79" t="s">
        <v>3</v>
      </c>
      <c r="HF79" t="s">
        <v>3</v>
      </c>
      <c r="HM79" t="s">
        <v>3</v>
      </c>
      <c r="HN79" t="s">
        <v>3</v>
      </c>
      <c r="HO79" t="s">
        <v>3</v>
      </c>
      <c r="HP79" t="s">
        <v>3</v>
      </c>
      <c r="HQ79" t="s">
        <v>3</v>
      </c>
      <c r="HS79">
        <v>0</v>
      </c>
      <c r="IK79">
        <v>0</v>
      </c>
    </row>
    <row r="80" spans="1:245" x14ac:dyDescent="0.25">
      <c r="A80">
        <v>17</v>
      </c>
      <c r="B80">
        <v>1</v>
      </c>
      <c r="C80">
        <f>ROW(SmtRes!A19)</f>
        <v>19</v>
      </c>
      <c r="D80">
        <f>ROW(EtalonRes!A19)</f>
        <v>19</v>
      </c>
      <c r="E80" t="s">
        <v>125</v>
      </c>
      <c r="F80" t="s">
        <v>126</v>
      </c>
      <c r="G80" t="s">
        <v>127</v>
      </c>
      <c r="H80" t="s">
        <v>20</v>
      </c>
      <c r="I80">
        <v>54.568600000000004</v>
      </c>
      <c r="J80">
        <v>0</v>
      </c>
      <c r="K80">
        <v>54.568600000000004</v>
      </c>
      <c r="O80">
        <f>ROUND(CP80,2)</f>
        <v>419174.16</v>
      </c>
      <c r="P80">
        <f>ROUND(CQ80*I80,2)</f>
        <v>10466.26</v>
      </c>
      <c r="Q80">
        <f>ROUND(CR80*I80,2)</f>
        <v>408707.9</v>
      </c>
      <c r="R80">
        <f>ROUND(CS80*I80,2)</f>
        <v>193178.3</v>
      </c>
      <c r="S80">
        <f>ROUND(CT80*I80,2)</f>
        <v>0</v>
      </c>
      <c r="T80">
        <f>ROUND(CU80*I80,2)</f>
        <v>0</v>
      </c>
      <c r="U80">
        <f>CV80*I80</f>
        <v>0</v>
      </c>
      <c r="V80">
        <f>CW80*I80</f>
        <v>0</v>
      </c>
      <c r="W80">
        <f>ROUND(CX80*I80,2)</f>
        <v>0</v>
      </c>
      <c r="X80">
        <f t="shared" si="69"/>
        <v>0</v>
      </c>
      <c r="Y80">
        <f t="shared" si="69"/>
        <v>0</v>
      </c>
      <c r="AA80">
        <v>80891843</v>
      </c>
      <c r="AB80">
        <f>ROUND((AC80+AD80+AF80),6)</f>
        <v>7681.6</v>
      </c>
      <c r="AC80">
        <f>ROUND(((ES80*10)),6)</f>
        <v>191.8</v>
      </c>
      <c r="AD80">
        <f>ROUND(((((ET80*10))-((EU80*10)))+AE80),6)</f>
        <v>7489.8</v>
      </c>
      <c r="AE80">
        <f>ROUND(((EU80*10)),6)</f>
        <v>3540.1</v>
      </c>
      <c r="AF80">
        <f>ROUND(((EV80*10)),6)</f>
        <v>0</v>
      </c>
      <c r="AG80">
        <f>ROUND((AP80),6)</f>
        <v>0</v>
      </c>
      <c r="AH80">
        <f>((EW80*10))</f>
        <v>0</v>
      </c>
      <c r="AI80">
        <f>((EX80*10))</f>
        <v>0</v>
      </c>
      <c r="AJ80">
        <f>(AS80)</f>
        <v>0</v>
      </c>
      <c r="AK80">
        <v>768.16</v>
      </c>
      <c r="AL80">
        <v>19.18</v>
      </c>
      <c r="AM80">
        <v>748.98</v>
      </c>
      <c r="AN80">
        <v>354.01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70</v>
      </c>
      <c r="AU80">
        <v>10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0</v>
      </c>
      <c r="BI80">
        <v>4</v>
      </c>
      <c r="BJ80" t="s">
        <v>128</v>
      </c>
      <c r="BM80">
        <v>0</v>
      </c>
      <c r="BN80">
        <v>0</v>
      </c>
      <c r="BO80" t="s">
        <v>3</v>
      </c>
      <c r="BP80">
        <v>0</v>
      </c>
      <c r="BQ80">
        <v>1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70</v>
      </c>
      <c r="CA80">
        <v>10</v>
      </c>
      <c r="CB80" t="s">
        <v>3</v>
      </c>
      <c r="CE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>(P80+Q80+S80)</f>
        <v>419174.16000000003</v>
      </c>
      <c r="CQ80">
        <f>(AC80*BC80*AW80)</f>
        <v>191.8</v>
      </c>
      <c r="CR80">
        <f>(((((ET80*10))*BB80-((EU80*10))*BS80)+AE80*BS80)*AV80)</f>
        <v>7489.8</v>
      </c>
      <c r="CS80">
        <f>(AE80*BS80*AV80)</f>
        <v>3540.1</v>
      </c>
      <c r="CT80">
        <f>(AF80*BA80*AV80)</f>
        <v>0</v>
      </c>
      <c r="CU80">
        <f>AG80</f>
        <v>0</v>
      </c>
      <c r="CV80">
        <f>(AH80*AV80)</f>
        <v>0</v>
      </c>
      <c r="CW80">
        <f t="shared" si="70"/>
        <v>0</v>
      </c>
      <c r="CX80">
        <f t="shared" si="70"/>
        <v>0</v>
      </c>
      <c r="CY80">
        <f>((S80*BZ80)/100)</f>
        <v>0</v>
      </c>
      <c r="CZ80">
        <f>((S80*CA80)/100)</f>
        <v>0</v>
      </c>
      <c r="DC80" t="s">
        <v>3</v>
      </c>
      <c r="DD80" t="s">
        <v>129</v>
      </c>
      <c r="DE80" t="s">
        <v>129</v>
      </c>
      <c r="DF80" t="s">
        <v>129</v>
      </c>
      <c r="DG80" t="s">
        <v>129</v>
      </c>
      <c r="DH80" t="s">
        <v>3</v>
      </c>
      <c r="DI80" t="s">
        <v>129</v>
      </c>
      <c r="DJ80" t="s">
        <v>129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1005</v>
      </c>
      <c r="DV80" t="s">
        <v>20</v>
      </c>
      <c r="DW80" t="s">
        <v>20</v>
      </c>
      <c r="DX80">
        <v>1000</v>
      </c>
      <c r="DZ80" t="s">
        <v>3</v>
      </c>
      <c r="EA80" t="s">
        <v>3</v>
      </c>
      <c r="EB80" t="s">
        <v>3</v>
      </c>
      <c r="EC80" t="s">
        <v>3</v>
      </c>
      <c r="EE80">
        <v>80196140</v>
      </c>
      <c r="EF80">
        <v>1</v>
      </c>
      <c r="EG80" t="s">
        <v>23</v>
      </c>
      <c r="EH80">
        <v>0</v>
      </c>
      <c r="EI80" t="s">
        <v>3</v>
      </c>
      <c r="EJ80">
        <v>4</v>
      </c>
      <c r="EK80">
        <v>0</v>
      </c>
      <c r="EL80" t="s">
        <v>24</v>
      </c>
      <c r="EM80" t="s">
        <v>25</v>
      </c>
      <c r="EO80" t="s">
        <v>3</v>
      </c>
      <c r="EQ80">
        <v>0</v>
      </c>
      <c r="ER80">
        <v>768.16</v>
      </c>
      <c r="ES80">
        <v>19.18</v>
      </c>
      <c r="ET80">
        <v>748.98</v>
      </c>
      <c r="EU80">
        <v>354.01</v>
      </c>
      <c r="EV80">
        <v>0</v>
      </c>
      <c r="EW80">
        <v>0</v>
      </c>
      <c r="EX80">
        <v>0</v>
      </c>
      <c r="EY80">
        <v>0</v>
      </c>
      <c r="FQ80">
        <v>0</v>
      </c>
      <c r="FR80">
        <v>0</v>
      </c>
      <c r="FS80">
        <v>0</v>
      </c>
      <c r="FX80">
        <v>70</v>
      </c>
      <c r="FY80">
        <v>10</v>
      </c>
      <c r="GA80" t="s">
        <v>3</v>
      </c>
      <c r="GD80">
        <v>0</v>
      </c>
      <c r="GF80">
        <v>-1951941252</v>
      </c>
      <c r="GG80">
        <v>2</v>
      </c>
      <c r="GH80">
        <v>1</v>
      </c>
      <c r="GI80">
        <v>-2</v>
      </c>
      <c r="GJ80">
        <v>0</v>
      </c>
      <c r="GK80">
        <f>ROUND(R80*(R12)/100,2)</f>
        <v>208632.56</v>
      </c>
      <c r="GL80">
        <f>ROUND(IF(AND(BH80=3,BI80=3,FS80&lt;&gt;0),P80,0),2)</f>
        <v>0</v>
      </c>
      <c r="GM80">
        <f>ROUND(O80+X80+Y80+GK80,2)+GX80</f>
        <v>627806.71999999997</v>
      </c>
      <c r="GN80">
        <f>IF(OR(BI80=0,BI80=1),GM80-GX80,0)</f>
        <v>0</v>
      </c>
      <c r="GO80">
        <f>IF(BI80=2,GM80-GX80,0)</f>
        <v>0</v>
      </c>
      <c r="GP80">
        <f>IF(BI80=4,GM80-GX80,0)</f>
        <v>627806.71999999997</v>
      </c>
      <c r="GR80">
        <v>0</v>
      </c>
      <c r="GS80">
        <v>3</v>
      </c>
      <c r="GT80">
        <v>0</v>
      </c>
      <c r="GU80" t="s">
        <v>3</v>
      </c>
      <c r="GV80">
        <f>ROUND((GT80),6)</f>
        <v>0</v>
      </c>
      <c r="GW80">
        <v>1</v>
      </c>
      <c r="GX80">
        <f>ROUND(HC80*I80,2)</f>
        <v>0</v>
      </c>
      <c r="HA80">
        <v>0</v>
      </c>
      <c r="HB80">
        <v>0</v>
      </c>
      <c r="HC80">
        <f>GV80*GW80</f>
        <v>0</v>
      </c>
      <c r="HE80" t="s">
        <v>3</v>
      </c>
      <c r="HF80" t="s">
        <v>3</v>
      </c>
      <c r="HM80" t="s">
        <v>3</v>
      </c>
      <c r="HN80" t="s">
        <v>3</v>
      </c>
      <c r="HO80" t="s">
        <v>3</v>
      </c>
      <c r="HP80" t="s">
        <v>3</v>
      </c>
      <c r="HQ80" t="s">
        <v>3</v>
      </c>
      <c r="HS80">
        <v>0</v>
      </c>
      <c r="IK80">
        <v>0</v>
      </c>
    </row>
    <row r="81" spans="1:245" x14ac:dyDescent="0.25">
      <c r="A81">
        <v>17</v>
      </c>
      <c r="B81">
        <v>1</v>
      </c>
      <c r="C81">
        <f>ROW(SmtRes!A22)</f>
        <v>22</v>
      </c>
      <c r="D81">
        <f>ROW(EtalonRes!A22)</f>
        <v>22</v>
      </c>
      <c r="E81" t="s">
        <v>3</v>
      </c>
      <c r="F81" t="s">
        <v>130</v>
      </c>
      <c r="G81" t="s">
        <v>131</v>
      </c>
      <c r="H81" t="s">
        <v>20</v>
      </c>
      <c r="I81">
        <v>54.568600000000004</v>
      </c>
      <c r="J81">
        <v>0</v>
      </c>
      <c r="K81">
        <v>54.568600000000004</v>
      </c>
      <c r="O81">
        <f>ROUND(CP81,2)</f>
        <v>83242.759999999995</v>
      </c>
      <c r="P81">
        <f>ROUND(CQ81*I81,2)</f>
        <v>19017.7</v>
      </c>
      <c r="Q81">
        <f>ROUND(CR81*I81,2)</f>
        <v>64225.06</v>
      </c>
      <c r="R81">
        <f>ROUND(CS81*I81,2)</f>
        <v>30355.97</v>
      </c>
      <c r="S81">
        <f>ROUND(CT81*I81,2)</f>
        <v>0</v>
      </c>
      <c r="T81">
        <f>ROUND(CU81*I81,2)</f>
        <v>0</v>
      </c>
      <c r="U81">
        <f>CV81*I81</f>
        <v>0</v>
      </c>
      <c r="V81">
        <f>CW81*I81</f>
        <v>0</v>
      </c>
      <c r="W81">
        <f>ROUND(CX81*I81,2)</f>
        <v>0</v>
      </c>
      <c r="X81">
        <f t="shared" si="69"/>
        <v>0</v>
      </c>
      <c r="Y81">
        <f t="shared" si="69"/>
        <v>0</v>
      </c>
      <c r="AA81">
        <v>-1</v>
      </c>
      <c r="AB81">
        <f>ROUND((AC81+AD81+AF81),6)</f>
        <v>1525.47</v>
      </c>
      <c r="AC81">
        <f>ROUND((ES81),6)</f>
        <v>348.51</v>
      </c>
      <c r="AD81">
        <f>ROUND((((ET81)-(EU81))+AE81),6)</f>
        <v>1176.96</v>
      </c>
      <c r="AE81">
        <f>ROUND((EU81),6)</f>
        <v>556.29</v>
      </c>
      <c r="AF81">
        <f>ROUND((EV81),6)</f>
        <v>0</v>
      </c>
      <c r="AG81">
        <f>ROUND((AP81),6)</f>
        <v>0</v>
      </c>
      <c r="AH81">
        <f>(EW81)</f>
        <v>0</v>
      </c>
      <c r="AI81">
        <f>(EX81)</f>
        <v>0</v>
      </c>
      <c r="AJ81">
        <f>(AS81)</f>
        <v>0</v>
      </c>
      <c r="AK81">
        <v>1525.47</v>
      </c>
      <c r="AL81">
        <v>348.51</v>
      </c>
      <c r="AM81">
        <v>1176.96</v>
      </c>
      <c r="AN81">
        <v>556.29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70</v>
      </c>
      <c r="AU81">
        <v>10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4</v>
      </c>
      <c r="BJ81" t="s">
        <v>132</v>
      </c>
      <c r="BM81">
        <v>0</v>
      </c>
      <c r="BN81">
        <v>0</v>
      </c>
      <c r="BO81" t="s">
        <v>3</v>
      </c>
      <c r="BP81">
        <v>0</v>
      </c>
      <c r="BQ81">
        <v>1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70</v>
      </c>
      <c r="CA81">
        <v>10</v>
      </c>
      <c r="CB81" t="s">
        <v>3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>(P81+Q81+S81)</f>
        <v>83242.759999999995</v>
      </c>
      <c r="CQ81">
        <f>(AC81*BC81*AW81)</f>
        <v>348.51</v>
      </c>
      <c r="CR81">
        <f>((((ET81)*BB81-(EU81)*BS81)+AE81*BS81)*AV81)</f>
        <v>1176.96</v>
      </c>
      <c r="CS81">
        <f>(AE81*BS81*AV81)</f>
        <v>556.29</v>
      </c>
      <c r="CT81">
        <f>(AF81*BA81*AV81)</f>
        <v>0</v>
      </c>
      <c r="CU81">
        <f>AG81</f>
        <v>0</v>
      </c>
      <c r="CV81">
        <f>(AH81*AV81)</f>
        <v>0</v>
      </c>
      <c r="CW81">
        <f t="shared" si="70"/>
        <v>0</v>
      </c>
      <c r="CX81">
        <f t="shared" si="70"/>
        <v>0</v>
      </c>
      <c r="CY81">
        <f>((S81*BZ81)/100)</f>
        <v>0</v>
      </c>
      <c r="CZ81">
        <f>((S81*CA81)/100)</f>
        <v>0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1005</v>
      </c>
      <c r="DV81" t="s">
        <v>20</v>
      </c>
      <c r="DW81" t="s">
        <v>20</v>
      </c>
      <c r="DX81">
        <v>1000</v>
      </c>
      <c r="DZ81" t="s">
        <v>3</v>
      </c>
      <c r="EA81" t="s">
        <v>3</v>
      </c>
      <c r="EB81" t="s">
        <v>3</v>
      </c>
      <c r="EC81" t="s">
        <v>3</v>
      </c>
      <c r="EE81">
        <v>80196140</v>
      </c>
      <c r="EF81">
        <v>1</v>
      </c>
      <c r="EG81" t="s">
        <v>23</v>
      </c>
      <c r="EH81">
        <v>0</v>
      </c>
      <c r="EI81" t="s">
        <v>3</v>
      </c>
      <c r="EJ81">
        <v>4</v>
      </c>
      <c r="EK81">
        <v>0</v>
      </c>
      <c r="EL81" t="s">
        <v>24</v>
      </c>
      <c r="EM81" t="s">
        <v>25</v>
      </c>
      <c r="EO81" t="s">
        <v>3</v>
      </c>
      <c r="EQ81">
        <v>1024</v>
      </c>
      <c r="ER81">
        <v>1525.47</v>
      </c>
      <c r="ES81">
        <v>348.51</v>
      </c>
      <c r="ET81">
        <v>1176.96</v>
      </c>
      <c r="EU81">
        <v>556.29</v>
      </c>
      <c r="EV81">
        <v>0</v>
      </c>
      <c r="EW81">
        <v>0</v>
      </c>
      <c r="EX81">
        <v>0</v>
      </c>
      <c r="EY81">
        <v>0</v>
      </c>
      <c r="FQ81">
        <v>0</v>
      </c>
      <c r="FR81">
        <v>0</v>
      </c>
      <c r="FS81">
        <v>0</v>
      </c>
      <c r="FX81">
        <v>70</v>
      </c>
      <c r="FY81">
        <v>10</v>
      </c>
      <c r="GA81" t="s">
        <v>3</v>
      </c>
      <c r="GD81">
        <v>0</v>
      </c>
      <c r="GF81">
        <v>508839597</v>
      </c>
      <c r="GG81">
        <v>2</v>
      </c>
      <c r="GH81">
        <v>1</v>
      </c>
      <c r="GI81">
        <v>-2</v>
      </c>
      <c r="GJ81">
        <v>0</v>
      </c>
      <c r="GK81">
        <f>ROUND(R81*(R12)/100,2)</f>
        <v>32784.449999999997</v>
      </c>
      <c r="GL81">
        <f>ROUND(IF(AND(BH81=3,BI81=3,FS81&lt;&gt;0),P81,0),2)</f>
        <v>0</v>
      </c>
      <c r="GM81">
        <f>ROUND(O81+X81+Y81+GK81,2)+GX81</f>
        <v>116027.21</v>
      </c>
      <c r="GN81">
        <f>IF(OR(BI81=0,BI81=1),GM81-GX81,0)</f>
        <v>0</v>
      </c>
      <c r="GO81">
        <f>IF(BI81=2,GM81-GX81,0)</f>
        <v>0</v>
      </c>
      <c r="GP81">
        <f>IF(BI81=4,GM81-GX81,0)</f>
        <v>116027.21</v>
      </c>
      <c r="GR81">
        <v>0</v>
      </c>
      <c r="GS81">
        <v>3</v>
      </c>
      <c r="GT81">
        <v>0</v>
      </c>
      <c r="GU81" t="s">
        <v>3</v>
      </c>
      <c r="GV81">
        <f>ROUND((GT81),6)</f>
        <v>0</v>
      </c>
      <c r="GW81">
        <v>1</v>
      </c>
      <c r="GX81">
        <f>ROUND(HC81*I81,2)</f>
        <v>0</v>
      </c>
      <c r="HA81">
        <v>0</v>
      </c>
      <c r="HB81">
        <v>0</v>
      </c>
      <c r="HC81">
        <f>GV81*GW81</f>
        <v>0</v>
      </c>
      <c r="HE81" t="s">
        <v>3</v>
      </c>
      <c r="HF81" t="s">
        <v>3</v>
      </c>
      <c r="HM81" t="s">
        <v>3</v>
      </c>
      <c r="HN81" t="s">
        <v>3</v>
      </c>
      <c r="HO81" t="s">
        <v>3</v>
      </c>
      <c r="HP81" t="s">
        <v>3</v>
      </c>
      <c r="HQ81" t="s">
        <v>3</v>
      </c>
      <c r="HS81">
        <v>0</v>
      </c>
      <c r="IK81">
        <v>0</v>
      </c>
    </row>
    <row r="83" spans="1:245" ht="13" x14ac:dyDescent="0.3">
      <c r="A83" s="2">
        <v>51</v>
      </c>
      <c r="B83" s="2">
        <f>B73</f>
        <v>1</v>
      </c>
      <c r="C83" s="2">
        <f>A73</f>
        <v>5</v>
      </c>
      <c r="D83" s="2">
        <f>ROW(A73)</f>
        <v>73</v>
      </c>
      <c r="E83" s="2"/>
      <c r="F83" s="2" t="str">
        <f>IF(F73&lt;&gt;"",F73,"")</f>
        <v>Новый подраздел</v>
      </c>
      <c r="G83" s="2" t="str">
        <f>IF(G73&lt;&gt;"",G73,"")</f>
        <v xml:space="preserve">Подраздел: ЛЕТНЯЯ УБОРКА </v>
      </c>
      <c r="H83" s="2">
        <v>0</v>
      </c>
      <c r="I83" s="2"/>
      <c r="J83" s="2"/>
      <c r="K83" s="2"/>
      <c r="L83" s="2"/>
      <c r="M83" s="2"/>
      <c r="N83" s="2"/>
      <c r="O83" s="2">
        <f t="shared" ref="O83:T83" si="71">ROUND(AB83,2)</f>
        <v>1967531.39</v>
      </c>
      <c r="P83" s="2">
        <f t="shared" si="71"/>
        <v>10461.290000000001</v>
      </c>
      <c r="Q83" s="2">
        <f t="shared" si="71"/>
        <v>1562421.25</v>
      </c>
      <c r="R83" s="2">
        <f t="shared" si="71"/>
        <v>738495.42</v>
      </c>
      <c r="S83" s="2">
        <f t="shared" si="71"/>
        <v>394648.85</v>
      </c>
      <c r="T83" s="2">
        <f t="shared" si="71"/>
        <v>0</v>
      </c>
      <c r="U83" s="2">
        <f>AH83</f>
        <v>870.9148560000001</v>
      </c>
      <c r="V83" s="2">
        <f>AI83</f>
        <v>0</v>
      </c>
      <c r="W83" s="2">
        <f>ROUND(AJ83,2)</f>
        <v>0</v>
      </c>
      <c r="X83" s="2">
        <f>ROUND(AK83,2)</f>
        <v>276254.2</v>
      </c>
      <c r="Y83" s="2">
        <f>ROUND(AL83,2)</f>
        <v>39464.89</v>
      </c>
      <c r="Z83" s="2"/>
      <c r="AA83" s="2"/>
      <c r="AB83" s="2">
        <f>ROUND(SUMIF(AA77:AA81,"=80891843",O77:O81),2)</f>
        <v>1967531.39</v>
      </c>
      <c r="AC83" s="2">
        <f>ROUND(SUMIF(AA77:AA81,"=80891843",P77:P81),2)</f>
        <v>10461.290000000001</v>
      </c>
      <c r="AD83" s="2">
        <f>ROUND(SUMIF(AA77:AA81,"=80891843",Q77:Q81),2)</f>
        <v>1562421.25</v>
      </c>
      <c r="AE83" s="2">
        <f>ROUND(SUMIF(AA77:AA81,"=80891843",R77:R81),2)</f>
        <v>738495.42</v>
      </c>
      <c r="AF83" s="2">
        <f>ROUND(SUMIF(AA77:AA81,"=80891843",S77:S81),2)</f>
        <v>394648.85</v>
      </c>
      <c r="AG83" s="2">
        <f>ROUND(SUMIF(AA77:AA81,"=80891843",T77:T81),2)</f>
        <v>0</v>
      </c>
      <c r="AH83" s="2">
        <f>SUMIF(AA77:AA81,"=80891843",U77:U81)</f>
        <v>870.9148560000001</v>
      </c>
      <c r="AI83" s="2">
        <f>SUMIF(AA77:AA81,"=80891843",V77:V81)</f>
        <v>0</v>
      </c>
      <c r="AJ83" s="2">
        <f>ROUND(SUMIF(AA77:AA81,"=80891843",W77:W81),2)</f>
        <v>0</v>
      </c>
      <c r="AK83" s="2">
        <f>ROUND(SUMIF(AA77:AA81,"=80891843",X77:X81),2)</f>
        <v>276254.2</v>
      </c>
      <c r="AL83" s="2">
        <f>ROUND(SUMIF(AA77:AA81,"=80891843",Y77:Y81),2)</f>
        <v>39464.89</v>
      </c>
      <c r="AM83" s="2"/>
      <c r="AN83" s="2"/>
      <c r="AO83" s="2">
        <f t="shared" ref="AO83:BD83" si="72">ROUND(BX83,2)</f>
        <v>0</v>
      </c>
      <c r="AP83" s="2">
        <f t="shared" si="72"/>
        <v>0</v>
      </c>
      <c r="AQ83" s="2">
        <f t="shared" si="72"/>
        <v>0</v>
      </c>
      <c r="AR83" s="2">
        <f t="shared" si="72"/>
        <v>3080825.53</v>
      </c>
      <c r="AS83" s="2">
        <f t="shared" si="72"/>
        <v>0</v>
      </c>
      <c r="AT83" s="2">
        <f t="shared" si="72"/>
        <v>0</v>
      </c>
      <c r="AU83" s="2">
        <f t="shared" si="72"/>
        <v>3080825.53</v>
      </c>
      <c r="AV83" s="2">
        <f t="shared" si="72"/>
        <v>10461.290000000001</v>
      </c>
      <c r="AW83" s="2">
        <f t="shared" si="72"/>
        <v>10461.290000000001</v>
      </c>
      <c r="AX83" s="2">
        <f t="shared" si="72"/>
        <v>0</v>
      </c>
      <c r="AY83" s="2">
        <f t="shared" si="72"/>
        <v>10461.290000000001</v>
      </c>
      <c r="AZ83" s="2">
        <f t="shared" si="72"/>
        <v>0</v>
      </c>
      <c r="BA83" s="2">
        <f t="shared" si="72"/>
        <v>0</v>
      </c>
      <c r="BB83" s="2">
        <f t="shared" si="72"/>
        <v>0</v>
      </c>
      <c r="BC83" s="2">
        <f t="shared" si="72"/>
        <v>0</v>
      </c>
      <c r="BD83" s="2">
        <f t="shared" si="72"/>
        <v>0</v>
      </c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>
        <f>ROUND(SUMIF(AA77:AA81,"=80891843",FQ77:FQ81),2)</f>
        <v>0</v>
      </c>
      <c r="BY83" s="2">
        <f>ROUND(SUMIF(AA77:AA81,"=80891843",FR77:FR81),2)</f>
        <v>0</v>
      </c>
      <c r="BZ83" s="2">
        <f>ROUND(SUMIF(AA77:AA81,"=80891843",GL77:GL81),2)</f>
        <v>0</v>
      </c>
      <c r="CA83" s="2">
        <f>ROUND(SUMIF(AA77:AA81,"=80891843",GM77:GM81),2)</f>
        <v>3080825.53</v>
      </c>
      <c r="CB83" s="2">
        <f>ROUND(SUMIF(AA77:AA81,"=80891843",GN77:GN81),2)</f>
        <v>0</v>
      </c>
      <c r="CC83" s="2">
        <f>ROUND(SUMIF(AA77:AA81,"=80891843",GO77:GO81),2)</f>
        <v>0</v>
      </c>
      <c r="CD83" s="2">
        <f>ROUND(SUMIF(AA77:AA81,"=80891843",GP77:GP81),2)</f>
        <v>3080825.53</v>
      </c>
      <c r="CE83" s="2">
        <f>AC83-BX83</f>
        <v>10461.290000000001</v>
      </c>
      <c r="CF83" s="2">
        <f>AC83-BY83</f>
        <v>10461.290000000001</v>
      </c>
      <c r="CG83" s="2">
        <f>BX83-BZ83</f>
        <v>0</v>
      </c>
      <c r="CH83" s="2">
        <f>AC83-BX83-BY83+BZ83</f>
        <v>10461.290000000001</v>
      </c>
      <c r="CI83" s="2">
        <f>BY83-BZ83</f>
        <v>0</v>
      </c>
      <c r="CJ83" s="2">
        <f>ROUND(SUMIF(AA77:AA81,"=80891843",GX77:GX81),2)</f>
        <v>0</v>
      </c>
      <c r="CK83" s="2">
        <f>ROUND(SUMIF(AA77:AA81,"=80891843",GY77:GY81),2)</f>
        <v>0</v>
      </c>
      <c r="CL83" s="2">
        <f>ROUND(SUMIF(AA77:AA81,"=80891843",GZ77:GZ81),2)</f>
        <v>0</v>
      </c>
      <c r="CM83" s="2">
        <f>ROUND(SUMIF(AA77:AA81,"=80891843",HD77:HD81),2)</f>
        <v>0</v>
      </c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/>
      <c r="GU83" s="3"/>
      <c r="GV83" s="3"/>
      <c r="GW83" s="3"/>
      <c r="GX83" s="3">
        <v>0</v>
      </c>
    </row>
    <row r="85" spans="1:245" ht="13" x14ac:dyDescent="0.3">
      <c r="A85" s="4">
        <v>50</v>
      </c>
      <c r="B85" s="4">
        <v>0</v>
      </c>
      <c r="C85" s="4">
        <v>0</v>
      </c>
      <c r="D85" s="4">
        <v>1</v>
      </c>
      <c r="E85" s="4">
        <v>201</v>
      </c>
      <c r="F85" s="4">
        <f>ROUND(Source!O83,O85)</f>
        <v>1967531.39</v>
      </c>
      <c r="G85" s="4" t="s">
        <v>67</v>
      </c>
      <c r="H85" s="4" t="s">
        <v>68</v>
      </c>
      <c r="I85" s="4"/>
      <c r="J85" s="4"/>
      <c r="K85" s="4">
        <v>201</v>
      </c>
      <c r="L85" s="4">
        <v>1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1967531.39</v>
      </c>
      <c r="X85" s="4">
        <v>1</v>
      </c>
      <c r="Y85" s="4">
        <v>1967531.39</v>
      </c>
      <c r="Z85" s="4"/>
      <c r="AA85" s="4"/>
      <c r="AB85" s="4"/>
    </row>
    <row r="86" spans="1:245" ht="13" x14ac:dyDescent="0.3">
      <c r="A86" s="4">
        <v>50</v>
      </c>
      <c r="B86" s="4">
        <v>0</v>
      </c>
      <c r="C86" s="4">
        <v>0</v>
      </c>
      <c r="D86" s="4">
        <v>1</v>
      </c>
      <c r="E86" s="4">
        <v>202</v>
      </c>
      <c r="F86" s="4">
        <f>ROUND(Source!P83,O86)</f>
        <v>10461.290000000001</v>
      </c>
      <c r="G86" s="4" t="s">
        <v>69</v>
      </c>
      <c r="H86" s="4" t="s">
        <v>70</v>
      </c>
      <c r="I86" s="4"/>
      <c r="J86" s="4"/>
      <c r="K86" s="4">
        <v>202</v>
      </c>
      <c r="L86" s="4">
        <v>2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10461.290000000001</v>
      </c>
      <c r="X86" s="4">
        <v>1</v>
      </c>
      <c r="Y86" s="4">
        <v>10461.290000000001</v>
      </c>
      <c r="Z86" s="4"/>
      <c r="AA86" s="4"/>
      <c r="AB86" s="4"/>
    </row>
    <row r="87" spans="1:245" ht="13" x14ac:dyDescent="0.3">
      <c r="A87" s="4">
        <v>50</v>
      </c>
      <c r="B87" s="4">
        <v>0</v>
      </c>
      <c r="C87" s="4">
        <v>0</v>
      </c>
      <c r="D87" s="4">
        <v>1</v>
      </c>
      <c r="E87" s="4">
        <v>222</v>
      </c>
      <c r="F87" s="4">
        <f>ROUND(Source!AO83,O87)</f>
        <v>0</v>
      </c>
      <c r="G87" s="4" t="s">
        <v>71</v>
      </c>
      <c r="H87" s="4" t="s">
        <v>72</v>
      </c>
      <c r="I87" s="4"/>
      <c r="J87" s="4"/>
      <c r="K87" s="4">
        <v>222</v>
      </c>
      <c r="L87" s="4">
        <v>3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45" ht="13" x14ac:dyDescent="0.3">
      <c r="A88" s="4">
        <v>50</v>
      </c>
      <c r="B88" s="4">
        <v>0</v>
      </c>
      <c r="C88" s="4">
        <v>0</v>
      </c>
      <c r="D88" s="4">
        <v>1</v>
      </c>
      <c r="E88" s="4">
        <v>225</v>
      </c>
      <c r="F88" s="4">
        <f>ROUND(Source!AV83,O88)</f>
        <v>10461.290000000001</v>
      </c>
      <c r="G88" s="4" t="s">
        <v>73</v>
      </c>
      <c r="H88" s="4" t="s">
        <v>74</v>
      </c>
      <c r="I88" s="4"/>
      <c r="J88" s="4"/>
      <c r="K88" s="4">
        <v>225</v>
      </c>
      <c r="L88" s="4">
        <v>4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10461.290000000001</v>
      </c>
      <c r="X88" s="4">
        <v>1</v>
      </c>
      <c r="Y88" s="4">
        <v>10461.290000000001</v>
      </c>
      <c r="Z88" s="4"/>
      <c r="AA88" s="4"/>
      <c r="AB88" s="4"/>
    </row>
    <row r="89" spans="1:245" ht="13" x14ac:dyDescent="0.3">
      <c r="A89" s="4">
        <v>50</v>
      </c>
      <c r="B89" s="4">
        <v>0</v>
      </c>
      <c r="C89" s="4">
        <v>0</v>
      </c>
      <c r="D89" s="4">
        <v>1</v>
      </c>
      <c r="E89" s="4">
        <v>226</v>
      </c>
      <c r="F89" s="4">
        <f>ROUND(Source!AW83,O89)</f>
        <v>10461.290000000001</v>
      </c>
      <c r="G89" s="4" t="s">
        <v>75</v>
      </c>
      <c r="H89" s="4" t="s">
        <v>76</v>
      </c>
      <c r="I89" s="4"/>
      <c r="J89" s="4"/>
      <c r="K89" s="4">
        <v>226</v>
      </c>
      <c r="L89" s="4">
        <v>5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10461.290000000001</v>
      </c>
      <c r="X89" s="4">
        <v>1</v>
      </c>
      <c r="Y89" s="4">
        <v>10461.290000000001</v>
      </c>
      <c r="Z89" s="4"/>
      <c r="AA89" s="4"/>
      <c r="AB89" s="4"/>
    </row>
    <row r="90" spans="1:245" ht="13" x14ac:dyDescent="0.3">
      <c r="A90" s="4">
        <v>50</v>
      </c>
      <c r="B90" s="4">
        <v>0</v>
      </c>
      <c r="C90" s="4">
        <v>0</v>
      </c>
      <c r="D90" s="4">
        <v>1</v>
      </c>
      <c r="E90" s="4">
        <v>227</v>
      </c>
      <c r="F90" s="4">
        <f>ROUND(Source!AX83,O90)</f>
        <v>0</v>
      </c>
      <c r="G90" s="4" t="s">
        <v>77</v>
      </c>
      <c r="H90" s="4" t="s">
        <v>78</v>
      </c>
      <c r="I90" s="4"/>
      <c r="J90" s="4"/>
      <c r="K90" s="4">
        <v>227</v>
      </c>
      <c r="L90" s="4">
        <v>6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45" ht="13" x14ac:dyDescent="0.3">
      <c r="A91" s="4">
        <v>50</v>
      </c>
      <c r="B91" s="4">
        <v>0</v>
      </c>
      <c r="C91" s="4">
        <v>0</v>
      </c>
      <c r="D91" s="4">
        <v>1</v>
      </c>
      <c r="E91" s="4">
        <v>228</v>
      </c>
      <c r="F91" s="4">
        <f>ROUND(Source!AY83,O91)</f>
        <v>10461.290000000001</v>
      </c>
      <c r="G91" s="4" t="s">
        <v>79</v>
      </c>
      <c r="H91" s="4" t="s">
        <v>80</v>
      </c>
      <c r="I91" s="4"/>
      <c r="J91" s="4"/>
      <c r="K91" s="4">
        <v>228</v>
      </c>
      <c r="L91" s="4">
        <v>7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10461.290000000001</v>
      </c>
      <c r="X91" s="4">
        <v>1</v>
      </c>
      <c r="Y91" s="4">
        <v>10461.290000000001</v>
      </c>
      <c r="Z91" s="4"/>
      <c r="AA91" s="4"/>
      <c r="AB91" s="4"/>
    </row>
    <row r="92" spans="1:245" ht="13" x14ac:dyDescent="0.3">
      <c r="A92" s="4">
        <v>50</v>
      </c>
      <c r="B92" s="4">
        <v>0</v>
      </c>
      <c r="C92" s="4">
        <v>0</v>
      </c>
      <c r="D92" s="4">
        <v>1</v>
      </c>
      <c r="E92" s="4">
        <v>216</v>
      </c>
      <c r="F92" s="4">
        <f>ROUND(Source!AP83,O92)</f>
        <v>0</v>
      </c>
      <c r="G92" s="4" t="s">
        <v>81</v>
      </c>
      <c r="H92" s="4" t="s">
        <v>82</v>
      </c>
      <c r="I92" s="4"/>
      <c r="J92" s="4"/>
      <c r="K92" s="4">
        <v>216</v>
      </c>
      <c r="L92" s="4">
        <v>8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45" ht="13" x14ac:dyDescent="0.3">
      <c r="A93" s="4">
        <v>50</v>
      </c>
      <c r="B93" s="4">
        <v>0</v>
      </c>
      <c r="C93" s="4">
        <v>0</v>
      </c>
      <c r="D93" s="4">
        <v>1</v>
      </c>
      <c r="E93" s="4">
        <v>223</v>
      </c>
      <c r="F93" s="4">
        <f>ROUND(Source!AQ83,O93)</f>
        <v>0</v>
      </c>
      <c r="G93" s="4" t="s">
        <v>83</v>
      </c>
      <c r="H93" s="4" t="s">
        <v>84</v>
      </c>
      <c r="I93" s="4"/>
      <c r="J93" s="4"/>
      <c r="K93" s="4">
        <v>223</v>
      </c>
      <c r="L93" s="4">
        <v>9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45" ht="13" x14ac:dyDescent="0.3">
      <c r="A94" s="4">
        <v>50</v>
      </c>
      <c r="B94" s="4">
        <v>0</v>
      </c>
      <c r="C94" s="4">
        <v>0</v>
      </c>
      <c r="D94" s="4">
        <v>1</v>
      </c>
      <c r="E94" s="4">
        <v>229</v>
      </c>
      <c r="F94" s="4">
        <f>ROUND(Source!AZ83,O94)</f>
        <v>0</v>
      </c>
      <c r="G94" s="4" t="s">
        <v>85</v>
      </c>
      <c r="H94" s="4" t="s">
        <v>86</v>
      </c>
      <c r="I94" s="4"/>
      <c r="J94" s="4"/>
      <c r="K94" s="4">
        <v>229</v>
      </c>
      <c r="L94" s="4">
        <v>10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45" ht="13" x14ac:dyDescent="0.3">
      <c r="A95" s="4">
        <v>50</v>
      </c>
      <c r="B95" s="4">
        <v>0</v>
      </c>
      <c r="C95" s="4">
        <v>0</v>
      </c>
      <c r="D95" s="4">
        <v>1</v>
      </c>
      <c r="E95" s="4">
        <v>203</v>
      </c>
      <c r="F95" s="4">
        <f>ROUND(Source!Q83,O95)</f>
        <v>1562421.25</v>
      </c>
      <c r="G95" s="4" t="s">
        <v>87</v>
      </c>
      <c r="H95" s="4" t="s">
        <v>88</v>
      </c>
      <c r="I95" s="4"/>
      <c r="J95" s="4"/>
      <c r="K95" s="4">
        <v>203</v>
      </c>
      <c r="L95" s="4">
        <v>11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1562421.25</v>
      </c>
      <c r="X95" s="4">
        <v>1</v>
      </c>
      <c r="Y95" s="4">
        <v>1562421.25</v>
      </c>
      <c r="Z95" s="4"/>
      <c r="AA95" s="4"/>
      <c r="AB95" s="4"/>
    </row>
    <row r="96" spans="1:245" ht="13" x14ac:dyDescent="0.3">
      <c r="A96" s="4">
        <v>50</v>
      </c>
      <c r="B96" s="4">
        <v>0</v>
      </c>
      <c r="C96" s="4">
        <v>0</v>
      </c>
      <c r="D96" s="4">
        <v>1</v>
      </c>
      <c r="E96" s="4">
        <v>231</v>
      </c>
      <c r="F96" s="4">
        <f>ROUND(Source!BB83,O96)</f>
        <v>0</v>
      </c>
      <c r="G96" s="4" t="s">
        <v>89</v>
      </c>
      <c r="H96" s="4" t="s">
        <v>90</v>
      </c>
      <c r="I96" s="4"/>
      <c r="J96" s="4"/>
      <c r="K96" s="4">
        <v>231</v>
      </c>
      <c r="L96" s="4">
        <v>12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ht="13" x14ac:dyDescent="0.3">
      <c r="A97" s="4">
        <v>50</v>
      </c>
      <c r="B97" s="4">
        <v>0</v>
      </c>
      <c r="C97" s="4">
        <v>0</v>
      </c>
      <c r="D97" s="4">
        <v>1</v>
      </c>
      <c r="E97" s="4">
        <v>204</v>
      </c>
      <c r="F97" s="4">
        <f>ROUND(Source!R83,O97)</f>
        <v>738495.42</v>
      </c>
      <c r="G97" s="4" t="s">
        <v>91</v>
      </c>
      <c r="H97" s="4" t="s">
        <v>92</v>
      </c>
      <c r="I97" s="4"/>
      <c r="J97" s="4"/>
      <c r="K97" s="4">
        <v>204</v>
      </c>
      <c r="L97" s="4">
        <v>13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738495.42</v>
      </c>
      <c r="X97" s="4">
        <v>1</v>
      </c>
      <c r="Y97" s="4">
        <v>738495.42</v>
      </c>
      <c r="Z97" s="4"/>
      <c r="AA97" s="4"/>
      <c r="AB97" s="4"/>
    </row>
    <row r="98" spans="1:28" ht="13" x14ac:dyDescent="0.3">
      <c r="A98" s="4">
        <v>50</v>
      </c>
      <c r="B98" s="4">
        <v>0</v>
      </c>
      <c r="C98" s="4">
        <v>0</v>
      </c>
      <c r="D98" s="4">
        <v>1</v>
      </c>
      <c r="E98" s="4">
        <v>205</v>
      </c>
      <c r="F98" s="4">
        <f>ROUND(Source!S83,O98)</f>
        <v>394648.85</v>
      </c>
      <c r="G98" s="4" t="s">
        <v>93</v>
      </c>
      <c r="H98" s="4" t="s">
        <v>94</v>
      </c>
      <c r="I98" s="4"/>
      <c r="J98" s="4"/>
      <c r="K98" s="4">
        <v>205</v>
      </c>
      <c r="L98" s="4">
        <v>14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394648.85</v>
      </c>
      <c r="X98" s="4">
        <v>1</v>
      </c>
      <c r="Y98" s="4">
        <v>394648.85</v>
      </c>
      <c r="Z98" s="4"/>
      <c r="AA98" s="4"/>
      <c r="AB98" s="4"/>
    </row>
    <row r="99" spans="1:28" ht="13" x14ac:dyDescent="0.3">
      <c r="A99" s="4">
        <v>50</v>
      </c>
      <c r="B99" s="4">
        <v>0</v>
      </c>
      <c r="C99" s="4">
        <v>0</v>
      </c>
      <c r="D99" s="4">
        <v>1</v>
      </c>
      <c r="E99" s="4">
        <v>232</v>
      </c>
      <c r="F99" s="4">
        <f>ROUND(Source!BC83,O99)</f>
        <v>0</v>
      </c>
      <c r="G99" s="4" t="s">
        <v>95</v>
      </c>
      <c r="H99" s="4" t="s">
        <v>96</v>
      </c>
      <c r="I99" s="4"/>
      <c r="J99" s="4"/>
      <c r="K99" s="4">
        <v>232</v>
      </c>
      <c r="L99" s="4">
        <v>15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ht="13" x14ac:dyDescent="0.3">
      <c r="A100" s="4">
        <v>50</v>
      </c>
      <c r="B100" s="4">
        <v>0</v>
      </c>
      <c r="C100" s="4">
        <v>0</v>
      </c>
      <c r="D100" s="4">
        <v>1</v>
      </c>
      <c r="E100" s="4">
        <v>214</v>
      </c>
      <c r="F100" s="4">
        <f>ROUND(Source!AS83,O100)</f>
        <v>0</v>
      </c>
      <c r="G100" s="4" t="s">
        <v>97</v>
      </c>
      <c r="H100" s="4" t="s">
        <v>98</v>
      </c>
      <c r="I100" s="4"/>
      <c r="J100" s="4"/>
      <c r="K100" s="4">
        <v>214</v>
      </c>
      <c r="L100" s="4">
        <v>16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8" ht="13" x14ac:dyDescent="0.3">
      <c r="A101" s="4">
        <v>50</v>
      </c>
      <c r="B101" s="4">
        <v>0</v>
      </c>
      <c r="C101" s="4">
        <v>0</v>
      </c>
      <c r="D101" s="4">
        <v>1</v>
      </c>
      <c r="E101" s="4">
        <v>215</v>
      </c>
      <c r="F101" s="4">
        <f>ROUND(Source!AT83,O101)</f>
        <v>0</v>
      </c>
      <c r="G101" s="4" t="s">
        <v>99</v>
      </c>
      <c r="H101" s="4" t="s">
        <v>100</v>
      </c>
      <c r="I101" s="4"/>
      <c r="J101" s="4"/>
      <c r="K101" s="4">
        <v>215</v>
      </c>
      <c r="L101" s="4">
        <v>17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 ht="13" x14ac:dyDescent="0.3">
      <c r="A102" s="4">
        <v>50</v>
      </c>
      <c r="B102" s="4">
        <v>0</v>
      </c>
      <c r="C102" s="4">
        <v>0</v>
      </c>
      <c r="D102" s="4">
        <v>1</v>
      </c>
      <c r="E102" s="4">
        <v>217</v>
      </c>
      <c r="F102" s="4">
        <f>ROUND(Source!AU83,O102)</f>
        <v>3080825.53</v>
      </c>
      <c r="G102" s="4" t="s">
        <v>101</v>
      </c>
      <c r="H102" s="4" t="s">
        <v>102</v>
      </c>
      <c r="I102" s="4"/>
      <c r="J102" s="4"/>
      <c r="K102" s="4">
        <v>217</v>
      </c>
      <c r="L102" s="4">
        <v>18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3080825.53</v>
      </c>
      <c r="X102" s="4">
        <v>1</v>
      </c>
      <c r="Y102" s="4">
        <v>3080825.53</v>
      </c>
      <c r="Z102" s="4"/>
      <c r="AA102" s="4"/>
      <c r="AB102" s="4"/>
    </row>
    <row r="103" spans="1:28" ht="13" x14ac:dyDescent="0.3">
      <c r="A103" s="4">
        <v>50</v>
      </c>
      <c r="B103" s="4">
        <v>0</v>
      </c>
      <c r="C103" s="4">
        <v>0</v>
      </c>
      <c r="D103" s="4">
        <v>1</v>
      </c>
      <c r="E103" s="4">
        <v>230</v>
      </c>
      <c r="F103" s="4">
        <f>ROUND(Source!BA83,O103)</f>
        <v>0</v>
      </c>
      <c r="G103" s="4" t="s">
        <v>103</v>
      </c>
      <c r="H103" s="4" t="s">
        <v>104</v>
      </c>
      <c r="I103" s="4"/>
      <c r="J103" s="4"/>
      <c r="K103" s="4">
        <v>230</v>
      </c>
      <c r="L103" s="4">
        <v>19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 ht="13" x14ac:dyDescent="0.3">
      <c r="A104" s="4">
        <v>50</v>
      </c>
      <c r="B104" s="4">
        <v>0</v>
      </c>
      <c r="C104" s="4">
        <v>0</v>
      </c>
      <c r="D104" s="4">
        <v>1</v>
      </c>
      <c r="E104" s="4">
        <v>206</v>
      </c>
      <c r="F104" s="4">
        <f>ROUND(Source!T83,O104)</f>
        <v>0</v>
      </c>
      <c r="G104" s="4" t="s">
        <v>105</v>
      </c>
      <c r="H104" s="4" t="s">
        <v>106</v>
      </c>
      <c r="I104" s="4"/>
      <c r="J104" s="4"/>
      <c r="K104" s="4">
        <v>206</v>
      </c>
      <c r="L104" s="4">
        <v>20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 ht="13" x14ac:dyDescent="0.3">
      <c r="A105" s="4">
        <v>50</v>
      </c>
      <c r="B105" s="4">
        <v>0</v>
      </c>
      <c r="C105" s="4">
        <v>0</v>
      </c>
      <c r="D105" s="4">
        <v>1</v>
      </c>
      <c r="E105" s="4">
        <v>207</v>
      </c>
      <c r="F105" s="4">
        <f>Source!U83</f>
        <v>870.9148560000001</v>
      </c>
      <c r="G105" s="4" t="s">
        <v>107</v>
      </c>
      <c r="H105" s="4" t="s">
        <v>108</v>
      </c>
      <c r="I105" s="4"/>
      <c r="J105" s="4"/>
      <c r="K105" s="4">
        <v>207</v>
      </c>
      <c r="L105" s="4">
        <v>21</v>
      </c>
      <c r="M105" s="4">
        <v>3</v>
      </c>
      <c r="N105" s="4" t="s">
        <v>3</v>
      </c>
      <c r="O105" s="4">
        <v>-1</v>
      </c>
      <c r="P105" s="4"/>
      <c r="Q105" s="4"/>
      <c r="R105" s="4"/>
      <c r="S105" s="4"/>
      <c r="T105" s="4"/>
      <c r="U105" s="4"/>
      <c r="V105" s="4"/>
      <c r="W105" s="4">
        <v>870.9148560000001</v>
      </c>
      <c r="X105" s="4">
        <v>1</v>
      </c>
      <c r="Y105" s="4">
        <v>870.9148560000001</v>
      </c>
      <c r="Z105" s="4"/>
      <c r="AA105" s="4"/>
      <c r="AB105" s="4"/>
    </row>
    <row r="106" spans="1:28" ht="13" x14ac:dyDescent="0.3">
      <c r="A106" s="4">
        <v>50</v>
      </c>
      <c r="B106" s="4">
        <v>0</v>
      </c>
      <c r="C106" s="4">
        <v>0</v>
      </c>
      <c r="D106" s="4">
        <v>1</v>
      </c>
      <c r="E106" s="4">
        <v>208</v>
      </c>
      <c r="F106" s="4">
        <f>Source!V83</f>
        <v>0</v>
      </c>
      <c r="G106" s="4" t="s">
        <v>109</v>
      </c>
      <c r="H106" s="4" t="s">
        <v>110</v>
      </c>
      <c r="I106" s="4"/>
      <c r="J106" s="4"/>
      <c r="K106" s="4">
        <v>208</v>
      </c>
      <c r="L106" s="4">
        <v>22</v>
      </c>
      <c r="M106" s="4">
        <v>3</v>
      </c>
      <c r="N106" s="4" t="s">
        <v>3</v>
      </c>
      <c r="O106" s="4">
        <v>-1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ht="13" x14ac:dyDescent="0.3">
      <c r="A107" s="4">
        <v>50</v>
      </c>
      <c r="B107" s="4">
        <v>0</v>
      </c>
      <c r="C107" s="4">
        <v>0</v>
      </c>
      <c r="D107" s="4">
        <v>1</v>
      </c>
      <c r="E107" s="4">
        <v>209</v>
      </c>
      <c r="F107" s="4">
        <f>ROUND(Source!W83,O107)</f>
        <v>0</v>
      </c>
      <c r="G107" s="4" t="s">
        <v>111</v>
      </c>
      <c r="H107" s="4" t="s">
        <v>112</v>
      </c>
      <c r="I107" s="4"/>
      <c r="J107" s="4"/>
      <c r="K107" s="4">
        <v>209</v>
      </c>
      <c r="L107" s="4">
        <v>23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8" ht="13" x14ac:dyDescent="0.3">
      <c r="A108" s="4">
        <v>50</v>
      </c>
      <c r="B108" s="4">
        <v>0</v>
      </c>
      <c r="C108" s="4">
        <v>0</v>
      </c>
      <c r="D108" s="4">
        <v>1</v>
      </c>
      <c r="E108" s="4">
        <v>233</v>
      </c>
      <c r="F108" s="4">
        <f>ROUND(Source!BD83,O108)</f>
        <v>0</v>
      </c>
      <c r="G108" s="4" t="s">
        <v>113</v>
      </c>
      <c r="H108" s="4" t="s">
        <v>114</v>
      </c>
      <c r="I108" s="4"/>
      <c r="J108" s="4"/>
      <c r="K108" s="4">
        <v>233</v>
      </c>
      <c r="L108" s="4">
        <v>24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8" ht="13" x14ac:dyDescent="0.3">
      <c r="A109" s="4">
        <v>50</v>
      </c>
      <c r="B109" s="4">
        <v>0</v>
      </c>
      <c r="C109" s="4">
        <v>0</v>
      </c>
      <c r="D109" s="4">
        <v>1</v>
      </c>
      <c r="E109" s="4">
        <v>210</v>
      </c>
      <c r="F109" s="4">
        <f>ROUND(Source!X83,O109)</f>
        <v>276254.2</v>
      </c>
      <c r="G109" s="4" t="s">
        <v>115</v>
      </c>
      <c r="H109" s="4" t="s">
        <v>116</v>
      </c>
      <c r="I109" s="4"/>
      <c r="J109" s="4"/>
      <c r="K109" s="4">
        <v>210</v>
      </c>
      <c r="L109" s="4">
        <v>25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276254.2</v>
      </c>
      <c r="X109" s="4">
        <v>1</v>
      </c>
      <c r="Y109" s="4">
        <v>276254.2</v>
      </c>
      <c r="Z109" s="4"/>
      <c r="AA109" s="4"/>
      <c r="AB109" s="4"/>
    </row>
    <row r="110" spans="1:28" ht="13" x14ac:dyDescent="0.3">
      <c r="A110" s="4">
        <v>50</v>
      </c>
      <c r="B110" s="4">
        <v>0</v>
      </c>
      <c r="C110" s="4">
        <v>0</v>
      </c>
      <c r="D110" s="4">
        <v>1</v>
      </c>
      <c r="E110" s="4">
        <v>211</v>
      </c>
      <c r="F110" s="4">
        <f>ROUND(Source!Y83,O110)</f>
        <v>39464.89</v>
      </c>
      <c r="G110" s="4" t="s">
        <v>117</v>
      </c>
      <c r="H110" s="4" t="s">
        <v>118</v>
      </c>
      <c r="I110" s="4"/>
      <c r="J110" s="4"/>
      <c r="K110" s="4">
        <v>211</v>
      </c>
      <c r="L110" s="4">
        <v>26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39464.89</v>
      </c>
      <c r="X110" s="4">
        <v>1</v>
      </c>
      <c r="Y110" s="4">
        <v>39464.89</v>
      </c>
      <c r="Z110" s="4"/>
      <c r="AA110" s="4"/>
      <c r="AB110" s="4"/>
    </row>
    <row r="111" spans="1:28" ht="13" x14ac:dyDescent="0.3">
      <c r="A111" s="4">
        <v>50</v>
      </c>
      <c r="B111" s="4">
        <v>0</v>
      </c>
      <c r="C111" s="4">
        <v>0</v>
      </c>
      <c r="D111" s="4">
        <v>1</v>
      </c>
      <c r="E111" s="4">
        <v>224</v>
      </c>
      <c r="F111" s="4">
        <f>ROUND(Source!AR83,O111)</f>
        <v>3080825.53</v>
      </c>
      <c r="G111" s="4" t="s">
        <v>119</v>
      </c>
      <c r="H111" s="4" t="s">
        <v>120</v>
      </c>
      <c r="I111" s="4"/>
      <c r="J111" s="4"/>
      <c r="K111" s="4">
        <v>224</v>
      </c>
      <c r="L111" s="4">
        <v>27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3080825.53</v>
      </c>
      <c r="X111" s="4">
        <v>1</v>
      </c>
      <c r="Y111" s="4">
        <v>3080825.53</v>
      </c>
      <c r="Z111" s="4"/>
      <c r="AA111" s="4"/>
      <c r="AB111" s="4"/>
    </row>
    <row r="113" spans="1:245" ht="13" x14ac:dyDescent="0.3">
      <c r="A113" s="1">
        <v>5</v>
      </c>
      <c r="B113" s="1">
        <v>1</v>
      </c>
      <c r="C113" s="1"/>
      <c r="D113" s="1">
        <f>ROW(A127)</f>
        <v>127</v>
      </c>
      <c r="E113" s="1"/>
      <c r="F113" s="1" t="s">
        <v>16</v>
      </c>
      <c r="G113" s="1" t="s">
        <v>264</v>
      </c>
      <c r="H113" s="1" t="s">
        <v>3</v>
      </c>
      <c r="I113" s="1">
        <v>0</v>
      </c>
      <c r="J113" s="1"/>
      <c r="K113" s="1">
        <v>0</v>
      </c>
      <c r="L113" s="1"/>
      <c r="M113" s="1" t="s">
        <v>3</v>
      </c>
      <c r="N113" s="1"/>
      <c r="O113" s="1"/>
      <c r="P113" s="1"/>
      <c r="Q113" s="1"/>
      <c r="R113" s="1"/>
      <c r="S113" s="1">
        <v>0</v>
      </c>
      <c r="T113" s="1"/>
      <c r="U113" s="1" t="s">
        <v>3</v>
      </c>
      <c r="V113" s="1">
        <v>0</v>
      </c>
      <c r="W113" s="1"/>
      <c r="X113" s="1"/>
      <c r="Y113" s="1"/>
      <c r="Z113" s="1"/>
      <c r="AA113" s="1"/>
      <c r="AB113" s="1" t="s">
        <v>3</v>
      </c>
      <c r="AC113" s="1" t="s">
        <v>3</v>
      </c>
      <c r="AD113" s="1" t="s">
        <v>3</v>
      </c>
      <c r="AE113" s="1" t="s">
        <v>3</v>
      </c>
      <c r="AF113" s="1" t="s">
        <v>3</v>
      </c>
      <c r="AG113" s="1" t="s">
        <v>3</v>
      </c>
      <c r="AH113" s="1"/>
      <c r="AI113" s="1"/>
      <c r="AJ113" s="1"/>
      <c r="AK113" s="1"/>
      <c r="AL113" s="1"/>
      <c r="AM113" s="1"/>
      <c r="AN113" s="1"/>
      <c r="AO113" s="1"/>
      <c r="AP113" s="1" t="s">
        <v>3</v>
      </c>
      <c r="AQ113" s="1" t="s">
        <v>3</v>
      </c>
      <c r="AR113" s="1" t="s">
        <v>3</v>
      </c>
      <c r="AS113" s="1"/>
      <c r="AT113" s="1"/>
      <c r="AU113" s="1"/>
      <c r="AV113" s="1"/>
      <c r="AW113" s="1"/>
      <c r="AX113" s="1"/>
      <c r="AY113" s="1"/>
      <c r="AZ113" s="1" t="s">
        <v>3</v>
      </c>
      <c r="BA113" s="1"/>
      <c r="BB113" s="1" t="s">
        <v>3</v>
      </c>
      <c r="BC113" s="1" t="s">
        <v>3</v>
      </c>
      <c r="BD113" s="1" t="s">
        <v>3</v>
      </c>
      <c r="BE113" s="1" t="s">
        <v>3</v>
      </c>
      <c r="BF113" s="1" t="s">
        <v>3</v>
      </c>
      <c r="BG113" s="1" t="s">
        <v>3</v>
      </c>
      <c r="BH113" s="1" t="s">
        <v>3</v>
      </c>
      <c r="BI113" s="1" t="s">
        <v>3</v>
      </c>
      <c r="BJ113" s="1" t="s">
        <v>3</v>
      </c>
      <c r="BK113" s="1" t="s">
        <v>3</v>
      </c>
      <c r="BL113" s="1" t="s">
        <v>3</v>
      </c>
      <c r="BM113" s="1" t="s">
        <v>3</v>
      </c>
      <c r="BN113" s="1" t="s">
        <v>3</v>
      </c>
      <c r="BO113" s="1" t="s">
        <v>3</v>
      </c>
      <c r="BP113" s="1" t="s">
        <v>3</v>
      </c>
      <c r="BQ113" s="1"/>
      <c r="BR113" s="1"/>
      <c r="BS113" s="1"/>
      <c r="BT113" s="1"/>
      <c r="BU113" s="1"/>
      <c r="BV113" s="1"/>
      <c r="BW113" s="1"/>
      <c r="BX113" s="1">
        <v>0</v>
      </c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>
        <v>0</v>
      </c>
    </row>
    <row r="115" spans="1:245" ht="13" x14ac:dyDescent="0.3">
      <c r="A115" s="2">
        <v>52</v>
      </c>
      <c r="B115" s="2">
        <f t="shared" ref="B115:G115" si="73">B127</f>
        <v>1</v>
      </c>
      <c r="C115" s="2">
        <f t="shared" si="73"/>
        <v>5</v>
      </c>
      <c r="D115" s="2">
        <f t="shared" si="73"/>
        <v>113</v>
      </c>
      <c r="E115" s="2">
        <f t="shared" si="73"/>
        <v>0</v>
      </c>
      <c r="F115" s="2" t="str">
        <f t="shared" si="73"/>
        <v>Новый подраздел</v>
      </c>
      <c r="G115" s="2" t="str">
        <f t="shared" si="73"/>
        <v xml:space="preserve">Подраздел: УХОД ЗА ЗЕЛЕНЫМИ НАСАЖДЕНИЯМИ </v>
      </c>
      <c r="H115" s="2"/>
      <c r="I115" s="2"/>
      <c r="J115" s="2"/>
      <c r="K115" s="2"/>
      <c r="L115" s="2"/>
      <c r="M115" s="2"/>
      <c r="N115" s="2"/>
      <c r="O115" s="2">
        <f t="shared" ref="O115:AT115" si="74">O127</f>
        <v>1286519.03</v>
      </c>
      <c r="P115" s="2">
        <f t="shared" si="74"/>
        <v>8209.32</v>
      </c>
      <c r="Q115" s="2">
        <f t="shared" si="74"/>
        <v>55396.68</v>
      </c>
      <c r="R115" s="2">
        <f t="shared" si="74"/>
        <v>5575.93</v>
      </c>
      <c r="S115" s="2">
        <f t="shared" si="74"/>
        <v>1222913.03</v>
      </c>
      <c r="T115" s="2">
        <f t="shared" si="74"/>
        <v>0</v>
      </c>
      <c r="U115" s="2">
        <f t="shared" si="74"/>
        <v>2672.3685600000003</v>
      </c>
      <c r="V115" s="2">
        <f t="shared" si="74"/>
        <v>0</v>
      </c>
      <c r="W115" s="2">
        <f t="shared" si="74"/>
        <v>0</v>
      </c>
      <c r="X115" s="2">
        <f t="shared" si="74"/>
        <v>856039.12</v>
      </c>
      <c r="Y115" s="2">
        <f t="shared" si="74"/>
        <v>122291.3</v>
      </c>
      <c r="Z115" s="2">
        <f t="shared" si="74"/>
        <v>0</v>
      </c>
      <c r="AA115" s="2">
        <f t="shared" si="74"/>
        <v>0</v>
      </c>
      <c r="AB115" s="2">
        <f t="shared" si="74"/>
        <v>1286519.03</v>
      </c>
      <c r="AC115" s="2">
        <f t="shared" si="74"/>
        <v>8209.32</v>
      </c>
      <c r="AD115" s="2">
        <f t="shared" si="74"/>
        <v>55396.68</v>
      </c>
      <c r="AE115" s="2">
        <f t="shared" si="74"/>
        <v>5575.93</v>
      </c>
      <c r="AF115" s="2">
        <f t="shared" si="74"/>
        <v>1222913.03</v>
      </c>
      <c r="AG115" s="2">
        <f t="shared" si="74"/>
        <v>0</v>
      </c>
      <c r="AH115" s="2">
        <f t="shared" si="74"/>
        <v>2672.3685600000003</v>
      </c>
      <c r="AI115" s="2">
        <f t="shared" si="74"/>
        <v>0</v>
      </c>
      <c r="AJ115" s="2">
        <f t="shared" si="74"/>
        <v>0</v>
      </c>
      <c r="AK115" s="2">
        <f t="shared" si="74"/>
        <v>856039.12</v>
      </c>
      <c r="AL115" s="2">
        <f t="shared" si="74"/>
        <v>122291.3</v>
      </c>
      <c r="AM115" s="2">
        <f t="shared" si="74"/>
        <v>0</v>
      </c>
      <c r="AN115" s="2">
        <f t="shared" si="74"/>
        <v>0</v>
      </c>
      <c r="AO115" s="2">
        <f t="shared" si="74"/>
        <v>0</v>
      </c>
      <c r="AP115" s="2">
        <f t="shared" si="74"/>
        <v>0</v>
      </c>
      <c r="AQ115" s="2">
        <f t="shared" si="74"/>
        <v>0</v>
      </c>
      <c r="AR115" s="2">
        <f t="shared" si="74"/>
        <v>2270871.4500000002</v>
      </c>
      <c r="AS115" s="2">
        <f t="shared" si="74"/>
        <v>0</v>
      </c>
      <c r="AT115" s="2">
        <f t="shared" si="74"/>
        <v>0</v>
      </c>
      <c r="AU115" s="2">
        <f t="shared" ref="AU115:BZ115" si="75">AU127</f>
        <v>2270871.4500000002</v>
      </c>
      <c r="AV115" s="2">
        <f t="shared" si="75"/>
        <v>8209.32</v>
      </c>
      <c r="AW115" s="2">
        <f t="shared" si="75"/>
        <v>8209.32</v>
      </c>
      <c r="AX115" s="2">
        <f t="shared" si="75"/>
        <v>0</v>
      </c>
      <c r="AY115" s="2">
        <f t="shared" si="75"/>
        <v>8209.32</v>
      </c>
      <c r="AZ115" s="2">
        <f t="shared" si="75"/>
        <v>0</v>
      </c>
      <c r="BA115" s="2">
        <f t="shared" si="75"/>
        <v>0</v>
      </c>
      <c r="BB115" s="2">
        <f t="shared" si="75"/>
        <v>0</v>
      </c>
      <c r="BC115" s="2">
        <f t="shared" si="75"/>
        <v>0</v>
      </c>
      <c r="BD115" s="2">
        <f t="shared" si="75"/>
        <v>0</v>
      </c>
      <c r="BE115" s="2">
        <f t="shared" si="75"/>
        <v>0</v>
      </c>
      <c r="BF115" s="2">
        <f t="shared" si="75"/>
        <v>0</v>
      </c>
      <c r="BG115" s="2">
        <f t="shared" si="75"/>
        <v>0</v>
      </c>
      <c r="BH115" s="2">
        <f t="shared" si="75"/>
        <v>0</v>
      </c>
      <c r="BI115" s="2">
        <f t="shared" si="75"/>
        <v>0</v>
      </c>
      <c r="BJ115" s="2">
        <f t="shared" si="75"/>
        <v>0</v>
      </c>
      <c r="BK115" s="2">
        <f t="shared" si="75"/>
        <v>0</v>
      </c>
      <c r="BL115" s="2">
        <f t="shared" si="75"/>
        <v>0</v>
      </c>
      <c r="BM115" s="2">
        <f t="shared" si="75"/>
        <v>0</v>
      </c>
      <c r="BN115" s="2">
        <f t="shared" si="75"/>
        <v>0</v>
      </c>
      <c r="BO115" s="2">
        <f t="shared" si="75"/>
        <v>0</v>
      </c>
      <c r="BP115" s="2">
        <f t="shared" si="75"/>
        <v>0</v>
      </c>
      <c r="BQ115" s="2">
        <f t="shared" si="75"/>
        <v>0</v>
      </c>
      <c r="BR115" s="2">
        <f t="shared" si="75"/>
        <v>0</v>
      </c>
      <c r="BS115" s="2">
        <f t="shared" si="75"/>
        <v>0</v>
      </c>
      <c r="BT115" s="2">
        <f t="shared" si="75"/>
        <v>0</v>
      </c>
      <c r="BU115" s="2">
        <f t="shared" si="75"/>
        <v>0</v>
      </c>
      <c r="BV115" s="2">
        <f t="shared" si="75"/>
        <v>0</v>
      </c>
      <c r="BW115" s="2">
        <f t="shared" si="75"/>
        <v>0</v>
      </c>
      <c r="BX115" s="2">
        <f t="shared" si="75"/>
        <v>0</v>
      </c>
      <c r="BY115" s="2">
        <f t="shared" si="75"/>
        <v>0</v>
      </c>
      <c r="BZ115" s="2">
        <f t="shared" si="75"/>
        <v>0</v>
      </c>
      <c r="CA115" s="2">
        <f t="shared" ref="CA115:DF115" si="76">CA127</f>
        <v>2270871.4500000002</v>
      </c>
      <c r="CB115" s="2">
        <f t="shared" si="76"/>
        <v>0</v>
      </c>
      <c r="CC115" s="2">
        <f t="shared" si="76"/>
        <v>0</v>
      </c>
      <c r="CD115" s="2">
        <f t="shared" si="76"/>
        <v>2270871.4500000002</v>
      </c>
      <c r="CE115" s="2">
        <f t="shared" si="76"/>
        <v>8209.32</v>
      </c>
      <c r="CF115" s="2">
        <f t="shared" si="76"/>
        <v>8209.32</v>
      </c>
      <c r="CG115" s="2">
        <f t="shared" si="76"/>
        <v>0</v>
      </c>
      <c r="CH115" s="2">
        <f t="shared" si="76"/>
        <v>8209.32</v>
      </c>
      <c r="CI115" s="2">
        <f t="shared" si="76"/>
        <v>0</v>
      </c>
      <c r="CJ115" s="2">
        <f t="shared" si="76"/>
        <v>0</v>
      </c>
      <c r="CK115" s="2">
        <f t="shared" si="76"/>
        <v>0</v>
      </c>
      <c r="CL115" s="2">
        <f t="shared" si="76"/>
        <v>0</v>
      </c>
      <c r="CM115" s="2">
        <f t="shared" si="76"/>
        <v>0</v>
      </c>
      <c r="CN115" s="2">
        <f t="shared" si="76"/>
        <v>0</v>
      </c>
      <c r="CO115" s="2">
        <f t="shared" si="76"/>
        <v>0</v>
      </c>
      <c r="CP115" s="2">
        <f t="shared" si="76"/>
        <v>0</v>
      </c>
      <c r="CQ115" s="2">
        <f t="shared" si="76"/>
        <v>0</v>
      </c>
      <c r="CR115" s="2">
        <f t="shared" si="76"/>
        <v>0</v>
      </c>
      <c r="CS115" s="2">
        <f t="shared" si="76"/>
        <v>0</v>
      </c>
      <c r="CT115" s="2">
        <f t="shared" si="76"/>
        <v>0</v>
      </c>
      <c r="CU115" s="2">
        <f t="shared" si="76"/>
        <v>0</v>
      </c>
      <c r="CV115" s="2">
        <f t="shared" si="76"/>
        <v>0</v>
      </c>
      <c r="CW115" s="2">
        <f t="shared" si="76"/>
        <v>0</v>
      </c>
      <c r="CX115" s="2">
        <f t="shared" si="76"/>
        <v>0</v>
      </c>
      <c r="CY115" s="2">
        <f t="shared" si="76"/>
        <v>0</v>
      </c>
      <c r="CZ115" s="2">
        <f t="shared" si="76"/>
        <v>0</v>
      </c>
      <c r="DA115" s="2">
        <f t="shared" si="76"/>
        <v>0</v>
      </c>
      <c r="DB115" s="2">
        <f t="shared" si="76"/>
        <v>0</v>
      </c>
      <c r="DC115" s="2">
        <f t="shared" si="76"/>
        <v>0</v>
      </c>
      <c r="DD115" s="2">
        <f t="shared" si="76"/>
        <v>0</v>
      </c>
      <c r="DE115" s="2">
        <f t="shared" si="76"/>
        <v>0</v>
      </c>
      <c r="DF115" s="2">
        <f t="shared" si="76"/>
        <v>0</v>
      </c>
      <c r="DG115" s="3">
        <f t="shared" ref="DG115:EL115" si="77">DG127</f>
        <v>0</v>
      </c>
      <c r="DH115" s="3">
        <f t="shared" si="77"/>
        <v>0</v>
      </c>
      <c r="DI115" s="3">
        <f t="shared" si="77"/>
        <v>0</v>
      </c>
      <c r="DJ115" s="3">
        <f t="shared" si="77"/>
        <v>0</v>
      </c>
      <c r="DK115" s="3">
        <f t="shared" si="77"/>
        <v>0</v>
      </c>
      <c r="DL115" s="3">
        <f t="shared" si="77"/>
        <v>0</v>
      </c>
      <c r="DM115" s="3">
        <f t="shared" si="77"/>
        <v>0</v>
      </c>
      <c r="DN115" s="3">
        <f t="shared" si="77"/>
        <v>0</v>
      </c>
      <c r="DO115" s="3">
        <f t="shared" si="77"/>
        <v>0</v>
      </c>
      <c r="DP115" s="3">
        <f t="shared" si="77"/>
        <v>0</v>
      </c>
      <c r="DQ115" s="3">
        <f t="shared" si="77"/>
        <v>0</v>
      </c>
      <c r="DR115" s="3">
        <f t="shared" si="77"/>
        <v>0</v>
      </c>
      <c r="DS115" s="3">
        <f t="shared" si="77"/>
        <v>0</v>
      </c>
      <c r="DT115" s="3">
        <f t="shared" si="77"/>
        <v>0</v>
      </c>
      <c r="DU115" s="3">
        <f t="shared" si="77"/>
        <v>0</v>
      </c>
      <c r="DV115" s="3">
        <f t="shared" si="77"/>
        <v>0</v>
      </c>
      <c r="DW115" s="3">
        <f t="shared" si="77"/>
        <v>0</v>
      </c>
      <c r="DX115" s="3">
        <f t="shared" si="77"/>
        <v>0</v>
      </c>
      <c r="DY115" s="3">
        <f t="shared" si="77"/>
        <v>0</v>
      </c>
      <c r="DZ115" s="3">
        <f t="shared" si="77"/>
        <v>0</v>
      </c>
      <c r="EA115" s="3">
        <f t="shared" si="77"/>
        <v>0</v>
      </c>
      <c r="EB115" s="3">
        <f t="shared" si="77"/>
        <v>0</v>
      </c>
      <c r="EC115" s="3">
        <f t="shared" si="77"/>
        <v>0</v>
      </c>
      <c r="ED115" s="3">
        <f t="shared" si="77"/>
        <v>0</v>
      </c>
      <c r="EE115" s="3">
        <f t="shared" si="77"/>
        <v>0</v>
      </c>
      <c r="EF115" s="3">
        <f t="shared" si="77"/>
        <v>0</v>
      </c>
      <c r="EG115" s="3">
        <f t="shared" si="77"/>
        <v>0</v>
      </c>
      <c r="EH115" s="3">
        <f t="shared" si="77"/>
        <v>0</v>
      </c>
      <c r="EI115" s="3">
        <f t="shared" si="77"/>
        <v>0</v>
      </c>
      <c r="EJ115" s="3">
        <f t="shared" si="77"/>
        <v>0</v>
      </c>
      <c r="EK115" s="3">
        <f t="shared" si="77"/>
        <v>0</v>
      </c>
      <c r="EL115" s="3">
        <f t="shared" si="77"/>
        <v>0</v>
      </c>
      <c r="EM115" s="3">
        <f t="shared" ref="EM115:FR115" si="78">EM127</f>
        <v>0</v>
      </c>
      <c r="EN115" s="3">
        <f t="shared" si="78"/>
        <v>0</v>
      </c>
      <c r="EO115" s="3">
        <f t="shared" si="78"/>
        <v>0</v>
      </c>
      <c r="EP115" s="3">
        <f t="shared" si="78"/>
        <v>0</v>
      </c>
      <c r="EQ115" s="3">
        <f t="shared" si="78"/>
        <v>0</v>
      </c>
      <c r="ER115" s="3">
        <f t="shared" si="78"/>
        <v>0</v>
      </c>
      <c r="ES115" s="3">
        <f t="shared" si="78"/>
        <v>0</v>
      </c>
      <c r="ET115" s="3">
        <f t="shared" si="78"/>
        <v>0</v>
      </c>
      <c r="EU115" s="3">
        <f t="shared" si="78"/>
        <v>0</v>
      </c>
      <c r="EV115" s="3">
        <f t="shared" si="78"/>
        <v>0</v>
      </c>
      <c r="EW115" s="3">
        <f t="shared" si="78"/>
        <v>0</v>
      </c>
      <c r="EX115" s="3">
        <f t="shared" si="78"/>
        <v>0</v>
      </c>
      <c r="EY115" s="3">
        <f t="shared" si="78"/>
        <v>0</v>
      </c>
      <c r="EZ115" s="3">
        <f t="shared" si="78"/>
        <v>0</v>
      </c>
      <c r="FA115" s="3">
        <f t="shared" si="78"/>
        <v>0</v>
      </c>
      <c r="FB115" s="3">
        <f t="shared" si="78"/>
        <v>0</v>
      </c>
      <c r="FC115" s="3">
        <f t="shared" si="78"/>
        <v>0</v>
      </c>
      <c r="FD115" s="3">
        <f t="shared" si="78"/>
        <v>0</v>
      </c>
      <c r="FE115" s="3">
        <f t="shared" si="78"/>
        <v>0</v>
      </c>
      <c r="FF115" s="3">
        <f t="shared" si="78"/>
        <v>0</v>
      </c>
      <c r="FG115" s="3">
        <f t="shared" si="78"/>
        <v>0</v>
      </c>
      <c r="FH115" s="3">
        <f t="shared" si="78"/>
        <v>0</v>
      </c>
      <c r="FI115" s="3">
        <f t="shared" si="78"/>
        <v>0</v>
      </c>
      <c r="FJ115" s="3">
        <f t="shared" si="78"/>
        <v>0</v>
      </c>
      <c r="FK115" s="3">
        <f t="shared" si="78"/>
        <v>0</v>
      </c>
      <c r="FL115" s="3">
        <f t="shared" si="78"/>
        <v>0</v>
      </c>
      <c r="FM115" s="3">
        <f t="shared" si="78"/>
        <v>0</v>
      </c>
      <c r="FN115" s="3">
        <f t="shared" si="78"/>
        <v>0</v>
      </c>
      <c r="FO115" s="3">
        <f t="shared" si="78"/>
        <v>0</v>
      </c>
      <c r="FP115" s="3">
        <f t="shared" si="78"/>
        <v>0</v>
      </c>
      <c r="FQ115" s="3">
        <f t="shared" si="78"/>
        <v>0</v>
      </c>
      <c r="FR115" s="3">
        <f t="shared" si="78"/>
        <v>0</v>
      </c>
      <c r="FS115" s="3">
        <f t="shared" ref="FS115:GX115" si="79">FS127</f>
        <v>0</v>
      </c>
      <c r="FT115" s="3">
        <f t="shared" si="79"/>
        <v>0</v>
      </c>
      <c r="FU115" s="3">
        <f t="shared" si="79"/>
        <v>0</v>
      </c>
      <c r="FV115" s="3">
        <f t="shared" si="79"/>
        <v>0</v>
      </c>
      <c r="FW115" s="3">
        <f t="shared" si="79"/>
        <v>0</v>
      </c>
      <c r="FX115" s="3">
        <f t="shared" si="79"/>
        <v>0</v>
      </c>
      <c r="FY115" s="3">
        <f t="shared" si="79"/>
        <v>0</v>
      </c>
      <c r="FZ115" s="3">
        <f t="shared" si="79"/>
        <v>0</v>
      </c>
      <c r="GA115" s="3">
        <f t="shared" si="79"/>
        <v>0</v>
      </c>
      <c r="GB115" s="3">
        <f t="shared" si="79"/>
        <v>0</v>
      </c>
      <c r="GC115" s="3">
        <f t="shared" si="79"/>
        <v>0</v>
      </c>
      <c r="GD115" s="3">
        <f t="shared" si="79"/>
        <v>0</v>
      </c>
      <c r="GE115" s="3">
        <f t="shared" si="79"/>
        <v>0</v>
      </c>
      <c r="GF115" s="3">
        <f t="shared" si="79"/>
        <v>0</v>
      </c>
      <c r="GG115" s="3">
        <f t="shared" si="79"/>
        <v>0</v>
      </c>
      <c r="GH115" s="3">
        <f t="shared" si="79"/>
        <v>0</v>
      </c>
      <c r="GI115" s="3">
        <f t="shared" si="79"/>
        <v>0</v>
      </c>
      <c r="GJ115" s="3">
        <f t="shared" si="79"/>
        <v>0</v>
      </c>
      <c r="GK115" s="3">
        <f t="shared" si="79"/>
        <v>0</v>
      </c>
      <c r="GL115" s="3">
        <f t="shared" si="79"/>
        <v>0</v>
      </c>
      <c r="GM115" s="3">
        <f t="shared" si="79"/>
        <v>0</v>
      </c>
      <c r="GN115" s="3">
        <f t="shared" si="79"/>
        <v>0</v>
      </c>
      <c r="GO115" s="3">
        <f t="shared" si="79"/>
        <v>0</v>
      </c>
      <c r="GP115" s="3">
        <f t="shared" si="79"/>
        <v>0</v>
      </c>
      <c r="GQ115" s="3">
        <f t="shared" si="79"/>
        <v>0</v>
      </c>
      <c r="GR115" s="3">
        <f t="shared" si="79"/>
        <v>0</v>
      </c>
      <c r="GS115" s="3">
        <f t="shared" si="79"/>
        <v>0</v>
      </c>
      <c r="GT115" s="3">
        <f t="shared" si="79"/>
        <v>0</v>
      </c>
      <c r="GU115" s="3">
        <f t="shared" si="79"/>
        <v>0</v>
      </c>
      <c r="GV115" s="3">
        <f t="shared" si="79"/>
        <v>0</v>
      </c>
      <c r="GW115" s="3">
        <f t="shared" si="79"/>
        <v>0</v>
      </c>
      <c r="GX115" s="3">
        <f t="shared" si="79"/>
        <v>0</v>
      </c>
    </row>
    <row r="117" spans="1:245" x14ac:dyDescent="0.25">
      <c r="A117">
        <v>17</v>
      </c>
      <c r="B117">
        <v>1</v>
      </c>
      <c r="C117">
        <f>ROW(SmtRes!A24)</f>
        <v>24</v>
      </c>
      <c r="D117">
        <f>ROW(EtalonRes!A24)</f>
        <v>24</v>
      </c>
      <c r="E117" t="s">
        <v>3</v>
      </c>
      <c r="F117" t="s">
        <v>133</v>
      </c>
      <c r="G117" t="s">
        <v>134</v>
      </c>
      <c r="H117" t="s">
        <v>29</v>
      </c>
      <c r="I117">
        <v>181.3312</v>
      </c>
      <c r="J117">
        <v>0</v>
      </c>
      <c r="K117">
        <v>181.3312</v>
      </c>
      <c r="O117">
        <f t="shared" ref="O117:O125" si="80">ROUND(CP117,2)</f>
        <v>99510.93</v>
      </c>
      <c r="P117">
        <f t="shared" ref="P117:P125" si="81">ROUND(CQ117*I117,2)</f>
        <v>0</v>
      </c>
      <c r="Q117">
        <f t="shared" ref="Q117:Q125" si="82">ROUND(CR117*I117,2)</f>
        <v>2553.14</v>
      </c>
      <c r="R117">
        <f t="shared" ref="R117:R125" si="83">ROUND(CS117*I117,2)</f>
        <v>25.39</v>
      </c>
      <c r="S117">
        <f t="shared" ref="S117:S125" si="84">ROUND(CT117*I117,2)</f>
        <v>96957.79</v>
      </c>
      <c r="T117">
        <f t="shared" ref="T117:T125" si="85">ROUND(CU117*I117,2)</f>
        <v>0</v>
      </c>
      <c r="U117">
        <f t="shared" ref="U117:U125" si="86">CV117*I117</f>
        <v>213.97081599999999</v>
      </c>
      <c r="V117">
        <f t="shared" ref="V117:V125" si="87">CW117*I117</f>
        <v>0</v>
      </c>
      <c r="W117">
        <f t="shared" ref="W117:W125" si="88">ROUND(CX117*I117,2)</f>
        <v>0</v>
      </c>
      <c r="X117">
        <f t="shared" ref="X117:X125" si="89">ROUND(CY117,2)</f>
        <v>67870.45</v>
      </c>
      <c r="Y117">
        <f t="shared" ref="Y117:Y125" si="90">ROUND(CZ117,2)</f>
        <v>9695.7800000000007</v>
      </c>
      <c r="AA117">
        <v>-1</v>
      </c>
      <c r="AB117">
        <f t="shared" ref="AB117:AB125" si="91">ROUND((AC117+AD117+AF117),6)</f>
        <v>548.78</v>
      </c>
      <c r="AC117">
        <f>ROUND(((ES117*2)),6)</f>
        <v>0</v>
      </c>
      <c r="AD117">
        <f>ROUND(((((ET117*2))-((EU117*2)))+AE117),6)</f>
        <v>14.08</v>
      </c>
      <c r="AE117">
        <f t="shared" ref="AE117:AF119" si="92">ROUND(((EU117*2)),6)</f>
        <v>0.14000000000000001</v>
      </c>
      <c r="AF117">
        <f t="shared" si="92"/>
        <v>534.70000000000005</v>
      </c>
      <c r="AG117">
        <f t="shared" ref="AG117:AG125" si="93">ROUND((AP117),6)</f>
        <v>0</v>
      </c>
      <c r="AH117">
        <f t="shared" ref="AH117:AI119" si="94">((EW117*2))</f>
        <v>1.18</v>
      </c>
      <c r="AI117">
        <f t="shared" si="94"/>
        <v>0</v>
      </c>
      <c r="AJ117">
        <f t="shared" ref="AJ117:AJ125" si="95">(AS117)</f>
        <v>0</v>
      </c>
      <c r="AK117">
        <v>274.39</v>
      </c>
      <c r="AL117">
        <v>0</v>
      </c>
      <c r="AM117">
        <v>7.04</v>
      </c>
      <c r="AN117">
        <v>7.0000000000000007E-2</v>
      </c>
      <c r="AO117">
        <v>267.35000000000002</v>
      </c>
      <c r="AP117">
        <v>0</v>
      </c>
      <c r="AQ117">
        <v>0.59</v>
      </c>
      <c r="AR117">
        <v>0</v>
      </c>
      <c r="AS117">
        <v>0</v>
      </c>
      <c r="AT117">
        <v>70</v>
      </c>
      <c r="AU117">
        <v>10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4</v>
      </c>
      <c r="BJ117" t="s">
        <v>135</v>
      </c>
      <c r="BM117">
        <v>0</v>
      </c>
      <c r="BN117">
        <v>0</v>
      </c>
      <c r="BO117" t="s">
        <v>3</v>
      </c>
      <c r="BP117">
        <v>0</v>
      </c>
      <c r="BQ117">
        <v>1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70</v>
      </c>
      <c r="CA117">
        <v>10</v>
      </c>
      <c r="CB117" t="s">
        <v>3</v>
      </c>
      <c r="CE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ref="CP117:CP125" si="96">(P117+Q117+S117)</f>
        <v>99510.93</v>
      </c>
      <c r="CQ117">
        <f t="shared" ref="CQ117:CQ125" si="97">(AC117*BC117*AW117)</f>
        <v>0</v>
      </c>
      <c r="CR117">
        <f>(((((ET117*2))*BB117-((EU117*2))*BS117)+AE117*BS117)*AV117)</f>
        <v>14.08</v>
      </c>
      <c r="CS117">
        <f t="shared" ref="CS117:CS125" si="98">(AE117*BS117*AV117)</f>
        <v>0.14000000000000001</v>
      </c>
      <c r="CT117">
        <f t="shared" ref="CT117:CT125" si="99">(AF117*BA117*AV117)</f>
        <v>534.70000000000005</v>
      </c>
      <c r="CU117">
        <f t="shared" ref="CU117:CU125" si="100">AG117</f>
        <v>0</v>
      </c>
      <c r="CV117">
        <f t="shared" ref="CV117:CV125" si="101">(AH117*AV117)</f>
        <v>1.18</v>
      </c>
      <c r="CW117">
        <f t="shared" ref="CW117:CW125" si="102">AI117</f>
        <v>0</v>
      </c>
      <c r="CX117">
        <f t="shared" ref="CX117:CX125" si="103">AJ117</f>
        <v>0</v>
      </c>
      <c r="CY117">
        <f t="shared" ref="CY117:CY125" si="104">((S117*BZ117)/100)</f>
        <v>67870.452999999994</v>
      </c>
      <c r="CZ117">
        <f t="shared" ref="CZ117:CZ125" si="105">((S117*CA117)/100)</f>
        <v>9695.7789999999986</v>
      </c>
      <c r="DC117" t="s">
        <v>3</v>
      </c>
      <c r="DD117" t="s">
        <v>136</v>
      </c>
      <c r="DE117" t="s">
        <v>136</v>
      </c>
      <c r="DF117" t="s">
        <v>136</v>
      </c>
      <c r="DG117" t="s">
        <v>136</v>
      </c>
      <c r="DH117" t="s">
        <v>3</v>
      </c>
      <c r="DI117" t="s">
        <v>136</v>
      </c>
      <c r="DJ117" t="s">
        <v>136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1005</v>
      </c>
      <c r="DV117" t="s">
        <v>29</v>
      </c>
      <c r="DW117" t="s">
        <v>29</v>
      </c>
      <c r="DX117">
        <v>100</v>
      </c>
      <c r="DZ117" t="s">
        <v>3</v>
      </c>
      <c r="EA117" t="s">
        <v>3</v>
      </c>
      <c r="EB117" t="s">
        <v>3</v>
      </c>
      <c r="EC117" t="s">
        <v>3</v>
      </c>
      <c r="EE117">
        <v>80196140</v>
      </c>
      <c r="EF117">
        <v>1</v>
      </c>
      <c r="EG117" t="s">
        <v>23</v>
      </c>
      <c r="EH117">
        <v>0</v>
      </c>
      <c r="EI117" t="s">
        <v>3</v>
      </c>
      <c r="EJ117">
        <v>4</v>
      </c>
      <c r="EK117">
        <v>0</v>
      </c>
      <c r="EL117" t="s">
        <v>24</v>
      </c>
      <c r="EM117" t="s">
        <v>25</v>
      </c>
      <c r="EO117" t="s">
        <v>3</v>
      </c>
      <c r="EQ117">
        <v>1024</v>
      </c>
      <c r="ER117">
        <v>274.39</v>
      </c>
      <c r="ES117">
        <v>0</v>
      </c>
      <c r="ET117">
        <v>7.04</v>
      </c>
      <c r="EU117">
        <v>7.0000000000000007E-2</v>
      </c>
      <c r="EV117">
        <v>267.35000000000002</v>
      </c>
      <c r="EW117">
        <v>0.59</v>
      </c>
      <c r="EX117">
        <v>0</v>
      </c>
      <c r="EY117">
        <v>0</v>
      </c>
      <c r="FQ117">
        <v>0</v>
      </c>
      <c r="FR117">
        <v>0</v>
      </c>
      <c r="FS117">
        <v>0</v>
      </c>
      <c r="FX117">
        <v>70</v>
      </c>
      <c r="FY117">
        <v>10</v>
      </c>
      <c r="GA117" t="s">
        <v>3</v>
      </c>
      <c r="GD117">
        <v>0</v>
      </c>
      <c r="GF117">
        <v>-1162331486</v>
      </c>
      <c r="GG117">
        <v>2</v>
      </c>
      <c r="GH117">
        <v>1</v>
      </c>
      <c r="GI117">
        <v>-2</v>
      </c>
      <c r="GJ117">
        <v>0</v>
      </c>
      <c r="GK117">
        <f>ROUND(R117*(R12)/100,2)</f>
        <v>27.42</v>
      </c>
      <c r="GL117">
        <f t="shared" ref="GL117:GL125" si="106">ROUND(IF(AND(BH117=3,BI117=3,FS117&lt;&gt;0),P117,0),2)</f>
        <v>0</v>
      </c>
      <c r="GM117">
        <f t="shared" ref="GM117:GM125" si="107">ROUND(O117+X117+Y117+GK117,2)+GX117</f>
        <v>177104.58</v>
      </c>
      <c r="GN117">
        <f t="shared" ref="GN117:GN125" si="108">IF(OR(BI117=0,BI117=1),GM117-GX117,0)</f>
        <v>0</v>
      </c>
      <c r="GO117">
        <f t="shared" ref="GO117:GO125" si="109">IF(BI117=2,GM117-GX117,0)</f>
        <v>0</v>
      </c>
      <c r="GP117">
        <f t="shared" ref="GP117:GP125" si="110">IF(BI117=4,GM117-GX117,0)</f>
        <v>177104.58</v>
      </c>
      <c r="GR117">
        <v>0</v>
      </c>
      <c r="GS117">
        <v>3</v>
      </c>
      <c r="GT117">
        <v>0</v>
      </c>
      <c r="GU117" t="s">
        <v>3</v>
      </c>
      <c r="GV117">
        <f t="shared" ref="GV117:GV125" si="111">ROUND((GT117),6)</f>
        <v>0</v>
      </c>
      <c r="GW117">
        <v>1</v>
      </c>
      <c r="GX117">
        <f t="shared" ref="GX117:GX125" si="112">ROUND(HC117*I117,2)</f>
        <v>0</v>
      </c>
      <c r="HA117">
        <v>0</v>
      </c>
      <c r="HB117">
        <v>0</v>
      </c>
      <c r="HC117">
        <f t="shared" ref="HC117:HC125" si="113">GV117*GW117</f>
        <v>0</v>
      </c>
      <c r="HE117" t="s">
        <v>3</v>
      </c>
      <c r="HF117" t="s">
        <v>3</v>
      </c>
      <c r="HM117" t="s">
        <v>3</v>
      </c>
      <c r="HN117" t="s">
        <v>3</v>
      </c>
      <c r="HO117" t="s">
        <v>3</v>
      </c>
      <c r="HP117" t="s">
        <v>3</v>
      </c>
      <c r="HQ117" t="s">
        <v>3</v>
      </c>
      <c r="HS117">
        <v>0</v>
      </c>
      <c r="IK117">
        <v>0</v>
      </c>
    </row>
    <row r="118" spans="1:245" x14ac:dyDescent="0.25">
      <c r="A118">
        <v>17</v>
      </c>
      <c r="B118">
        <v>1</v>
      </c>
      <c r="C118">
        <f>ROW(SmtRes!A25)</f>
        <v>25</v>
      </c>
      <c r="D118">
        <f>ROW(EtalonRes!A25)</f>
        <v>25</v>
      </c>
      <c r="E118" t="s">
        <v>3</v>
      </c>
      <c r="F118" t="s">
        <v>137</v>
      </c>
      <c r="G118" t="s">
        <v>138</v>
      </c>
      <c r="H118" t="s">
        <v>29</v>
      </c>
      <c r="I118">
        <v>45.332799999999999</v>
      </c>
      <c r="J118">
        <v>0</v>
      </c>
      <c r="K118">
        <v>45.332799999999999</v>
      </c>
      <c r="O118">
        <f t="shared" si="80"/>
        <v>65734.37</v>
      </c>
      <c r="P118">
        <f t="shared" si="81"/>
        <v>0</v>
      </c>
      <c r="Q118">
        <f t="shared" si="82"/>
        <v>0</v>
      </c>
      <c r="R118">
        <f t="shared" si="83"/>
        <v>0</v>
      </c>
      <c r="S118">
        <f t="shared" si="84"/>
        <v>65734.37</v>
      </c>
      <c r="T118">
        <f t="shared" si="85"/>
        <v>0</v>
      </c>
      <c r="U118">
        <f t="shared" si="86"/>
        <v>145.06496000000001</v>
      </c>
      <c r="V118">
        <f t="shared" si="87"/>
        <v>0</v>
      </c>
      <c r="W118">
        <f t="shared" si="88"/>
        <v>0</v>
      </c>
      <c r="X118">
        <f t="shared" si="89"/>
        <v>46014.06</v>
      </c>
      <c r="Y118">
        <f t="shared" si="90"/>
        <v>6573.44</v>
      </c>
      <c r="AA118">
        <v>-1</v>
      </c>
      <c r="AB118">
        <f t="shared" si="91"/>
        <v>1450.04</v>
      </c>
      <c r="AC118">
        <f>ROUND(((ES118*2)),6)</f>
        <v>0</v>
      </c>
      <c r="AD118">
        <f>ROUND(((((ET118*2))-((EU118*2)))+AE118),6)</f>
        <v>0</v>
      </c>
      <c r="AE118">
        <f t="shared" si="92"/>
        <v>0</v>
      </c>
      <c r="AF118">
        <f t="shared" si="92"/>
        <v>1450.04</v>
      </c>
      <c r="AG118">
        <f t="shared" si="93"/>
        <v>0</v>
      </c>
      <c r="AH118">
        <f t="shared" si="94"/>
        <v>3.2</v>
      </c>
      <c r="AI118">
        <f t="shared" si="94"/>
        <v>0</v>
      </c>
      <c r="AJ118">
        <f t="shared" si="95"/>
        <v>0</v>
      </c>
      <c r="AK118">
        <v>725.02</v>
      </c>
      <c r="AL118">
        <v>0</v>
      </c>
      <c r="AM118">
        <v>0</v>
      </c>
      <c r="AN118">
        <v>0</v>
      </c>
      <c r="AO118">
        <v>725.02</v>
      </c>
      <c r="AP118">
        <v>0</v>
      </c>
      <c r="AQ118">
        <v>1.6</v>
      </c>
      <c r="AR118">
        <v>0</v>
      </c>
      <c r="AS118">
        <v>0</v>
      </c>
      <c r="AT118">
        <v>70</v>
      </c>
      <c r="AU118">
        <v>10</v>
      </c>
      <c r="AV118">
        <v>1</v>
      </c>
      <c r="AW118">
        <v>1</v>
      </c>
      <c r="AZ118">
        <v>1</v>
      </c>
      <c r="BA118">
        <v>1</v>
      </c>
      <c r="BB118">
        <v>1</v>
      </c>
      <c r="BC118">
        <v>1</v>
      </c>
      <c r="BD118" t="s">
        <v>3</v>
      </c>
      <c r="BE118" t="s">
        <v>3</v>
      </c>
      <c r="BF118" t="s">
        <v>3</v>
      </c>
      <c r="BG118" t="s">
        <v>3</v>
      </c>
      <c r="BH118">
        <v>0</v>
      </c>
      <c r="BI118">
        <v>4</v>
      </c>
      <c r="BJ118" t="s">
        <v>139</v>
      </c>
      <c r="BM118">
        <v>0</v>
      </c>
      <c r="BN118">
        <v>0</v>
      </c>
      <c r="BO118" t="s">
        <v>3</v>
      </c>
      <c r="BP118">
        <v>0</v>
      </c>
      <c r="BQ118">
        <v>1</v>
      </c>
      <c r="BR118">
        <v>0</v>
      </c>
      <c r="BS118">
        <v>1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70</v>
      </c>
      <c r="CA118">
        <v>10</v>
      </c>
      <c r="CB118" t="s">
        <v>3</v>
      </c>
      <c r="CE118">
        <v>0</v>
      </c>
      <c r="CF118">
        <v>0</v>
      </c>
      <c r="CG118">
        <v>0</v>
      </c>
      <c r="CM118">
        <v>0</v>
      </c>
      <c r="CN118" t="s">
        <v>3</v>
      </c>
      <c r="CO118">
        <v>0</v>
      </c>
      <c r="CP118">
        <f t="shared" si="96"/>
        <v>65734.37</v>
      </c>
      <c r="CQ118">
        <f t="shared" si="97"/>
        <v>0</v>
      </c>
      <c r="CR118">
        <f>(((((ET118*2))*BB118-((EU118*2))*BS118)+AE118*BS118)*AV118)</f>
        <v>0</v>
      </c>
      <c r="CS118">
        <f t="shared" si="98"/>
        <v>0</v>
      </c>
      <c r="CT118">
        <f t="shared" si="99"/>
        <v>1450.04</v>
      </c>
      <c r="CU118">
        <f t="shared" si="100"/>
        <v>0</v>
      </c>
      <c r="CV118">
        <f t="shared" si="101"/>
        <v>3.2</v>
      </c>
      <c r="CW118">
        <f t="shared" si="102"/>
        <v>0</v>
      </c>
      <c r="CX118">
        <f t="shared" si="103"/>
        <v>0</v>
      </c>
      <c r="CY118">
        <f t="shared" si="104"/>
        <v>46014.058999999994</v>
      </c>
      <c r="CZ118">
        <f t="shared" si="105"/>
        <v>6573.4369999999999</v>
      </c>
      <c r="DC118" t="s">
        <v>3</v>
      </c>
      <c r="DD118" t="s">
        <v>136</v>
      </c>
      <c r="DE118" t="s">
        <v>136</v>
      </c>
      <c r="DF118" t="s">
        <v>136</v>
      </c>
      <c r="DG118" t="s">
        <v>136</v>
      </c>
      <c r="DH118" t="s">
        <v>3</v>
      </c>
      <c r="DI118" t="s">
        <v>136</v>
      </c>
      <c r="DJ118" t="s">
        <v>136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1005</v>
      </c>
      <c r="DV118" t="s">
        <v>29</v>
      </c>
      <c r="DW118" t="s">
        <v>29</v>
      </c>
      <c r="DX118">
        <v>100</v>
      </c>
      <c r="DZ118" t="s">
        <v>3</v>
      </c>
      <c r="EA118" t="s">
        <v>3</v>
      </c>
      <c r="EB118" t="s">
        <v>3</v>
      </c>
      <c r="EC118" t="s">
        <v>3</v>
      </c>
      <c r="EE118">
        <v>80196140</v>
      </c>
      <c r="EF118">
        <v>1</v>
      </c>
      <c r="EG118" t="s">
        <v>23</v>
      </c>
      <c r="EH118">
        <v>0</v>
      </c>
      <c r="EI118" t="s">
        <v>3</v>
      </c>
      <c r="EJ118">
        <v>4</v>
      </c>
      <c r="EK118">
        <v>0</v>
      </c>
      <c r="EL118" t="s">
        <v>24</v>
      </c>
      <c r="EM118" t="s">
        <v>25</v>
      </c>
      <c r="EO118" t="s">
        <v>3</v>
      </c>
      <c r="EQ118">
        <v>1024</v>
      </c>
      <c r="ER118">
        <v>725.02</v>
      </c>
      <c r="ES118">
        <v>0</v>
      </c>
      <c r="ET118">
        <v>0</v>
      </c>
      <c r="EU118">
        <v>0</v>
      </c>
      <c r="EV118">
        <v>725.02</v>
      </c>
      <c r="EW118">
        <v>1.6</v>
      </c>
      <c r="EX118">
        <v>0</v>
      </c>
      <c r="EY118">
        <v>0</v>
      </c>
      <c r="FQ118">
        <v>0</v>
      </c>
      <c r="FR118">
        <v>0</v>
      </c>
      <c r="FS118">
        <v>0</v>
      </c>
      <c r="FX118">
        <v>70</v>
      </c>
      <c r="FY118">
        <v>10</v>
      </c>
      <c r="GA118" t="s">
        <v>3</v>
      </c>
      <c r="GD118">
        <v>0</v>
      </c>
      <c r="GF118">
        <v>-2048109836</v>
      </c>
      <c r="GG118">
        <v>2</v>
      </c>
      <c r="GH118">
        <v>1</v>
      </c>
      <c r="GI118">
        <v>-2</v>
      </c>
      <c r="GJ118">
        <v>0</v>
      </c>
      <c r="GK118">
        <f>ROUND(R118*(R12)/100,2)</f>
        <v>0</v>
      </c>
      <c r="GL118">
        <f t="shared" si="106"/>
        <v>0</v>
      </c>
      <c r="GM118">
        <f t="shared" si="107"/>
        <v>118321.87</v>
      </c>
      <c r="GN118">
        <f t="shared" si="108"/>
        <v>0</v>
      </c>
      <c r="GO118">
        <f t="shared" si="109"/>
        <v>0</v>
      </c>
      <c r="GP118">
        <f t="shared" si="110"/>
        <v>118321.87</v>
      </c>
      <c r="GR118">
        <v>0</v>
      </c>
      <c r="GS118">
        <v>3</v>
      </c>
      <c r="GT118">
        <v>0</v>
      </c>
      <c r="GU118" t="s">
        <v>3</v>
      </c>
      <c r="GV118">
        <f t="shared" si="111"/>
        <v>0</v>
      </c>
      <c r="GW118">
        <v>1</v>
      </c>
      <c r="GX118">
        <f t="shared" si="112"/>
        <v>0</v>
      </c>
      <c r="HA118">
        <v>0</v>
      </c>
      <c r="HB118">
        <v>0</v>
      </c>
      <c r="HC118">
        <f t="shared" si="113"/>
        <v>0</v>
      </c>
      <c r="HE118" t="s">
        <v>3</v>
      </c>
      <c r="HF118" t="s">
        <v>3</v>
      </c>
      <c r="HM118" t="s">
        <v>3</v>
      </c>
      <c r="HN118" t="s">
        <v>3</v>
      </c>
      <c r="HO118" t="s">
        <v>3</v>
      </c>
      <c r="HP118" t="s">
        <v>3</v>
      </c>
      <c r="HQ118" t="s">
        <v>3</v>
      </c>
      <c r="HS118">
        <v>0</v>
      </c>
      <c r="IK118">
        <v>0</v>
      </c>
    </row>
    <row r="119" spans="1:245" x14ac:dyDescent="0.25">
      <c r="A119">
        <v>17</v>
      </c>
      <c r="B119">
        <v>1</v>
      </c>
      <c r="C119">
        <f>ROW(SmtRes!A28)</f>
        <v>28</v>
      </c>
      <c r="D119">
        <f>ROW(EtalonRes!A28)</f>
        <v>28</v>
      </c>
      <c r="E119" t="s">
        <v>3</v>
      </c>
      <c r="F119" t="s">
        <v>140</v>
      </c>
      <c r="G119" t="s">
        <v>141</v>
      </c>
      <c r="H119" t="s">
        <v>39</v>
      </c>
      <c r="I119">
        <v>113.33</v>
      </c>
      <c r="J119">
        <v>0</v>
      </c>
      <c r="K119">
        <v>113.33</v>
      </c>
      <c r="O119">
        <f t="shared" si="80"/>
        <v>150221.18</v>
      </c>
      <c r="P119">
        <f t="shared" si="81"/>
        <v>16500.849999999999</v>
      </c>
      <c r="Q119">
        <f t="shared" si="82"/>
        <v>78576.22</v>
      </c>
      <c r="R119">
        <f t="shared" si="83"/>
        <v>33971.800000000003</v>
      </c>
      <c r="S119">
        <f t="shared" si="84"/>
        <v>55144.11</v>
      </c>
      <c r="T119">
        <f t="shared" si="85"/>
        <v>0</v>
      </c>
      <c r="U119">
        <f t="shared" si="86"/>
        <v>108.79679999999999</v>
      </c>
      <c r="V119">
        <f t="shared" si="87"/>
        <v>0</v>
      </c>
      <c r="W119">
        <f t="shared" si="88"/>
        <v>0</v>
      </c>
      <c r="X119">
        <f t="shared" si="89"/>
        <v>38600.879999999997</v>
      </c>
      <c r="Y119">
        <f t="shared" si="90"/>
        <v>5514.41</v>
      </c>
      <c r="AA119">
        <v>-1</v>
      </c>
      <c r="AB119">
        <f t="shared" si="91"/>
        <v>1325.52</v>
      </c>
      <c r="AC119">
        <f>ROUND(((ES119*2)),6)</f>
        <v>145.6</v>
      </c>
      <c r="AD119">
        <f>ROUND(((((ET119*2))-((EU119*2)))+AE119),6)</f>
        <v>693.34</v>
      </c>
      <c r="AE119">
        <f t="shared" si="92"/>
        <v>299.76</v>
      </c>
      <c r="AF119">
        <f t="shared" si="92"/>
        <v>486.58</v>
      </c>
      <c r="AG119">
        <f t="shared" si="93"/>
        <v>0</v>
      </c>
      <c r="AH119">
        <f t="shared" si="94"/>
        <v>0.96</v>
      </c>
      <c r="AI119">
        <f t="shared" si="94"/>
        <v>0</v>
      </c>
      <c r="AJ119">
        <f t="shared" si="95"/>
        <v>0</v>
      </c>
      <c r="AK119">
        <v>662.76</v>
      </c>
      <c r="AL119">
        <v>72.8</v>
      </c>
      <c r="AM119">
        <v>346.67</v>
      </c>
      <c r="AN119">
        <v>149.88</v>
      </c>
      <c r="AO119">
        <v>243.29</v>
      </c>
      <c r="AP119">
        <v>0</v>
      </c>
      <c r="AQ119">
        <v>0.48</v>
      </c>
      <c r="AR119">
        <v>0</v>
      </c>
      <c r="AS119">
        <v>0</v>
      </c>
      <c r="AT119">
        <v>70</v>
      </c>
      <c r="AU119">
        <v>10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1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4</v>
      </c>
      <c r="BJ119" t="s">
        <v>142</v>
      </c>
      <c r="BM119">
        <v>0</v>
      </c>
      <c r="BN119">
        <v>0</v>
      </c>
      <c r="BO119" t="s">
        <v>3</v>
      </c>
      <c r="BP119">
        <v>0</v>
      </c>
      <c r="BQ119">
        <v>1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70</v>
      </c>
      <c r="CA119">
        <v>10</v>
      </c>
      <c r="CB119" t="s">
        <v>3</v>
      </c>
      <c r="CE119">
        <v>0</v>
      </c>
      <c r="CF119">
        <v>0</v>
      </c>
      <c r="CG119">
        <v>0</v>
      </c>
      <c r="CM119">
        <v>0</v>
      </c>
      <c r="CN119" t="s">
        <v>3</v>
      </c>
      <c r="CO119">
        <v>0</v>
      </c>
      <c r="CP119">
        <f t="shared" si="96"/>
        <v>150221.18</v>
      </c>
      <c r="CQ119">
        <f t="shared" si="97"/>
        <v>145.6</v>
      </c>
      <c r="CR119">
        <f>(((((ET119*2))*BB119-((EU119*2))*BS119)+AE119*BS119)*AV119)</f>
        <v>693.34</v>
      </c>
      <c r="CS119">
        <f t="shared" si="98"/>
        <v>299.76</v>
      </c>
      <c r="CT119">
        <f t="shared" si="99"/>
        <v>486.58</v>
      </c>
      <c r="CU119">
        <f t="shared" si="100"/>
        <v>0</v>
      </c>
      <c r="CV119">
        <f t="shared" si="101"/>
        <v>0.96</v>
      </c>
      <c r="CW119">
        <f t="shared" si="102"/>
        <v>0</v>
      </c>
      <c r="CX119">
        <f t="shared" si="103"/>
        <v>0</v>
      </c>
      <c r="CY119">
        <f t="shared" si="104"/>
        <v>38600.877</v>
      </c>
      <c r="CZ119">
        <f t="shared" si="105"/>
        <v>5514.4110000000001</v>
      </c>
      <c r="DC119" t="s">
        <v>3</v>
      </c>
      <c r="DD119" t="s">
        <v>136</v>
      </c>
      <c r="DE119" t="s">
        <v>136</v>
      </c>
      <c r="DF119" t="s">
        <v>136</v>
      </c>
      <c r="DG119" t="s">
        <v>136</v>
      </c>
      <c r="DH119" t="s">
        <v>3</v>
      </c>
      <c r="DI119" t="s">
        <v>136</v>
      </c>
      <c r="DJ119" t="s">
        <v>136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1007</v>
      </c>
      <c r="DV119" t="s">
        <v>39</v>
      </c>
      <c r="DW119" t="s">
        <v>39</v>
      </c>
      <c r="DX119">
        <v>1</v>
      </c>
      <c r="DZ119" t="s">
        <v>3</v>
      </c>
      <c r="EA119" t="s">
        <v>3</v>
      </c>
      <c r="EB119" t="s">
        <v>3</v>
      </c>
      <c r="EC119" t="s">
        <v>3</v>
      </c>
      <c r="EE119">
        <v>80196140</v>
      </c>
      <c r="EF119">
        <v>1</v>
      </c>
      <c r="EG119" t="s">
        <v>23</v>
      </c>
      <c r="EH119">
        <v>0</v>
      </c>
      <c r="EI119" t="s">
        <v>3</v>
      </c>
      <c r="EJ119">
        <v>4</v>
      </c>
      <c r="EK119">
        <v>0</v>
      </c>
      <c r="EL119" t="s">
        <v>24</v>
      </c>
      <c r="EM119" t="s">
        <v>25</v>
      </c>
      <c r="EO119" t="s">
        <v>3</v>
      </c>
      <c r="EQ119">
        <v>1024</v>
      </c>
      <c r="ER119">
        <v>662.76</v>
      </c>
      <c r="ES119">
        <v>72.8</v>
      </c>
      <c r="ET119">
        <v>346.67</v>
      </c>
      <c r="EU119">
        <v>149.88</v>
      </c>
      <c r="EV119">
        <v>243.29</v>
      </c>
      <c r="EW119">
        <v>0.48</v>
      </c>
      <c r="EX119">
        <v>0</v>
      </c>
      <c r="EY119">
        <v>0</v>
      </c>
      <c r="FQ119">
        <v>0</v>
      </c>
      <c r="FR119">
        <v>0</v>
      </c>
      <c r="FS119">
        <v>0</v>
      </c>
      <c r="FX119">
        <v>70</v>
      </c>
      <c r="FY119">
        <v>10</v>
      </c>
      <c r="GA119" t="s">
        <v>3</v>
      </c>
      <c r="GD119">
        <v>0</v>
      </c>
      <c r="GF119">
        <v>-1887195014</v>
      </c>
      <c r="GG119">
        <v>2</v>
      </c>
      <c r="GH119">
        <v>1</v>
      </c>
      <c r="GI119">
        <v>-2</v>
      </c>
      <c r="GJ119">
        <v>0</v>
      </c>
      <c r="GK119">
        <f>ROUND(R119*(R12)/100,2)</f>
        <v>36689.54</v>
      </c>
      <c r="GL119">
        <f t="shared" si="106"/>
        <v>0</v>
      </c>
      <c r="GM119">
        <f t="shared" si="107"/>
        <v>231026.01</v>
      </c>
      <c r="GN119">
        <f t="shared" si="108"/>
        <v>0</v>
      </c>
      <c r="GO119">
        <f t="shared" si="109"/>
        <v>0</v>
      </c>
      <c r="GP119">
        <f t="shared" si="110"/>
        <v>231026.01</v>
      </c>
      <c r="GR119">
        <v>0</v>
      </c>
      <c r="GS119">
        <v>3</v>
      </c>
      <c r="GT119">
        <v>0</v>
      </c>
      <c r="GU119" t="s">
        <v>3</v>
      </c>
      <c r="GV119">
        <f t="shared" si="111"/>
        <v>0</v>
      </c>
      <c r="GW119">
        <v>1</v>
      </c>
      <c r="GX119">
        <f t="shared" si="112"/>
        <v>0</v>
      </c>
      <c r="HA119">
        <v>0</v>
      </c>
      <c r="HB119">
        <v>0</v>
      </c>
      <c r="HC119">
        <f t="shared" si="113"/>
        <v>0</v>
      </c>
      <c r="HE119" t="s">
        <v>3</v>
      </c>
      <c r="HF119" t="s">
        <v>3</v>
      </c>
      <c r="HM119" t="s">
        <v>3</v>
      </c>
      <c r="HN119" t="s">
        <v>3</v>
      </c>
      <c r="HO119" t="s">
        <v>3</v>
      </c>
      <c r="HP119" t="s">
        <v>3</v>
      </c>
      <c r="HQ119" t="s">
        <v>3</v>
      </c>
      <c r="HS119">
        <v>0</v>
      </c>
      <c r="IK119">
        <v>0</v>
      </c>
    </row>
    <row r="120" spans="1:245" x14ac:dyDescent="0.25">
      <c r="A120">
        <v>17</v>
      </c>
      <c r="B120">
        <v>1</v>
      </c>
      <c r="C120">
        <f>ROW(SmtRes!A30)</f>
        <v>30</v>
      </c>
      <c r="D120">
        <f>ROW(EtalonRes!A30)</f>
        <v>30</v>
      </c>
      <c r="E120" t="s">
        <v>143</v>
      </c>
      <c r="F120" t="s">
        <v>144</v>
      </c>
      <c r="G120" t="s">
        <v>145</v>
      </c>
      <c r="H120" t="s">
        <v>29</v>
      </c>
      <c r="I120">
        <v>45.332799999999999</v>
      </c>
      <c r="J120">
        <v>0</v>
      </c>
      <c r="K120">
        <v>45.332799999999999</v>
      </c>
      <c r="O120">
        <f t="shared" si="80"/>
        <v>212630.33</v>
      </c>
      <c r="P120">
        <f t="shared" si="81"/>
        <v>8209.32</v>
      </c>
      <c r="Q120">
        <f t="shared" si="82"/>
        <v>0</v>
      </c>
      <c r="R120">
        <f t="shared" si="83"/>
        <v>0</v>
      </c>
      <c r="S120">
        <f t="shared" si="84"/>
        <v>204421.01</v>
      </c>
      <c r="T120">
        <f t="shared" si="85"/>
        <v>0</v>
      </c>
      <c r="U120">
        <f t="shared" si="86"/>
        <v>451.06136000000004</v>
      </c>
      <c r="V120">
        <f t="shared" si="87"/>
        <v>0</v>
      </c>
      <c r="W120">
        <f t="shared" si="88"/>
        <v>0</v>
      </c>
      <c r="X120">
        <f t="shared" si="89"/>
        <v>143094.71</v>
      </c>
      <c r="Y120">
        <f t="shared" si="90"/>
        <v>20442.099999999999</v>
      </c>
      <c r="AA120">
        <v>80891843</v>
      </c>
      <c r="AB120">
        <f t="shared" si="91"/>
        <v>4690.43</v>
      </c>
      <c r="AC120">
        <f>ROUND(((ES120*199)),6)</f>
        <v>181.09</v>
      </c>
      <c r="AD120">
        <f>ROUND(((((ET120*199))-((EU120*199)))+AE120),6)</f>
        <v>0</v>
      </c>
      <c r="AE120">
        <f>ROUND(((EU120*199)),6)</f>
        <v>0</v>
      </c>
      <c r="AF120">
        <f>ROUND(((EV120*199)),6)</f>
        <v>4509.34</v>
      </c>
      <c r="AG120">
        <f t="shared" si="93"/>
        <v>0</v>
      </c>
      <c r="AH120">
        <f>((EW120*199))</f>
        <v>9.9500000000000011</v>
      </c>
      <c r="AI120">
        <f>((EX120*199))</f>
        <v>0</v>
      </c>
      <c r="AJ120">
        <f t="shared" si="95"/>
        <v>0</v>
      </c>
      <c r="AK120">
        <v>23.57</v>
      </c>
      <c r="AL120">
        <v>0.91</v>
      </c>
      <c r="AM120">
        <v>0</v>
      </c>
      <c r="AN120">
        <v>0</v>
      </c>
      <c r="AO120">
        <v>22.66</v>
      </c>
      <c r="AP120">
        <v>0</v>
      </c>
      <c r="AQ120">
        <v>0.05</v>
      </c>
      <c r="AR120">
        <v>0</v>
      </c>
      <c r="AS120">
        <v>0</v>
      </c>
      <c r="AT120">
        <v>70</v>
      </c>
      <c r="AU120">
        <v>10</v>
      </c>
      <c r="AV120">
        <v>1</v>
      </c>
      <c r="AW120">
        <v>1</v>
      </c>
      <c r="AZ120">
        <v>1</v>
      </c>
      <c r="BA120">
        <v>1</v>
      </c>
      <c r="BB120">
        <v>1</v>
      </c>
      <c r="BC120">
        <v>1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4</v>
      </c>
      <c r="BJ120" t="s">
        <v>146</v>
      </c>
      <c r="BM120">
        <v>0</v>
      </c>
      <c r="BN120">
        <v>0</v>
      </c>
      <c r="BO120" t="s">
        <v>3</v>
      </c>
      <c r="BP120">
        <v>0</v>
      </c>
      <c r="BQ120">
        <v>1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70</v>
      </c>
      <c r="CA120">
        <v>10</v>
      </c>
      <c r="CB120" t="s">
        <v>3</v>
      </c>
      <c r="CE120">
        <v>0</v>
      </c>
      <c r="CF120">
        <v>0</v>
      </c>
      <c r="CG120">
        <v>0</v>
      </c>
      <c r="CM120">
        <v>0</v>
      </c>
      <c r="CN120" t="s">
        <v>3</v>
      </c>
      <c r="CO120">
        <v>0</v>
      </c>
      <c r="CP120">
        <f t="shared" si="96"/>
        <v>212630.33000000002</v>
      </c>
      <c r="CQ120">
        <f t="shared" si="97"/>
        <v>181.09</v>
      </c>
      <c r="CR120">
        <f>(((((ET120*199))*BB120-((EU120*199))*BS120)+AE120*BS120)*AV120)</f>
        <v>0</v>
      </c>
      <c r="CS120">
        <f t="shared" si="98"/>
        <v>0</v>
      </c>
      <c r="CT120">
        <f t="shared" si="99"/>
        <v>4509.34</v>
      </c>
      <c r="CU120">
        <f t="shared" si="100"/>
        <v>0</v>
      </c>
      <c r="CV120">
        <f t="shared" si="101"/>
        <v>9.9500000000000011</v>
      </c>
      <c r="CW120">
        <f t="shared" si="102"/>
        <v>0</v>
      </c>
      <c r="CX120">
        <f t="shared" si="103"/>
        <v>0</v>
      </c>
      <c r="CY120">
        <f t="shared" si="104"/>
        <v>143094.70700000002</v>
      </c>
      <c r="CZ120">
        <f t="shared" si="105"/>
        <v>20442.101000000002</v>
      </c>
      <c r="DC120" t="s">
        <v>3</v>
      </c>
      <c r="DD120" t="s">
        <v>147</v>
      </c>
      <c r="DE120" t="s">
        <v>147</v>
      </c>
      <c r="DF120" t="s">
        <v>147</v>
      </c>
      <c r="DG120" t="s">
        <v>147</v>
      </c>
      <c r="DH120" t="s">
        <v>3</v>
      </c>
      <c r="DI120" t="s">
        <v>147</v>
      </c>
      <c r="DJ120" t="s">
        <v>147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1005</v>
      </c>
      <c r="DV120" t="s">
        <v>29</v>
      </c>
      <c r="DW120" t="s">
        <v>29</v>
      </c>
      <c r="DX120">
        <v>100</v>
      </c>
      <c r="DZ120" t="s">
        <v>3</v>
      </c>
      <c r="EA120" t="s">
        <v>3</v>
      </c>
      <c r="EB120" t="s">
        <v>3</v>
      </c>
      <c r="EC120" t="s">
        <v>3</v>
      </c>
      <c r="EE120">
        <v>80196140</v>
      </c>
      <c r="EF120">
        <v>1</v>
      </c>
      <c r="EG120" t="s">
        <v>23</v>
      </c>
      <c r="EH120">
        <v>0</v>
      </c>
      <c r="EI120" t="s">
        <v>3</v>
      </c>
      <c r="EJ120">
        <v>4</v>
      </c>
      <c r="EK120">
        <v>0</v>
      </c>
      <c r="EL120" t="s">
        <v>24</v>
      </c>
      <c r="EM120" t="s">
        <v>25</v>
      </c>
      <c r="EO120" t="s">
        <v>3</v>
      </c>
      <c r="EQ120">
        <v>0</v>
      </c>
      <c r="ER120">
        <v>23.57</v>
      </c>
      <c r="ES120">
        <v>0.91</v>
      </c>
      <c r="ET120">
        <v>0</v>
      </c>
      <c r="EU120">
        <v>0</v>
      </c>
      <c r="EV120">
        <v>22.66</v>
      </c>
      <c r="EW120">
        <v>0.05</v>
      </c>
      <c r="EX120">
        <v>0</v>
      </c>
      <c r="EY120">
        <v>0</v>
      </c>
      <c r="FQ120">
        <v>0</v>
      </c>
      <c r="FR120">
        <v>0</v>
      </c>
      <c r="FS120">
        <v>0</v>
      </c>
      <c r="FX120">
        <v>70</v>
      </c>
      <c r="FY120">
        <v>10</v>
      </c>
      <c r="GA120" t="s">
        <v>3</v>
      </c>
      <c r="GD120">
        <v>0</v>
      </c>
      <c r="GF120">
        <v>1005512256</v>
      </c>
      <c r="GG120">
        <v>2</v>
      </c>
      <c r="GH120">
        <v>1</v>
      </c>
      <c r="GI120">
        <v>-2</v>
      </c>
      <c r="GJ120">
        <v>0</v>
      </c>
      <c r="GK120">
        <f>ROUND(R120*(R12)/100,2)</f>
        <v>0</v>
      </c>
      <c r="GL120">
        <f t="shared" si="106"/>
        <v>0</v>
      </c>
      <c r="GM120">
        <f t="shared" si="107"/>
        <v>376167.14</v>
      </c>
      <c r="GN120">
        <f t="shared" si="108"/>
        <v>0</v>
      </c>
      <c r="GO120">
        <f t="shared" si="109"/>
        <v>0</v>
      </c>
      <c r="GP120">
        <f t="shared" si="110"/>
        <v>376167.14</v>
      </c>
      <c r="GR120">
        <v>0</v>
      </c>
      <c r="GS120">
        <v>3</v>
      </c>
      <c r="GT120">
        <v>0</v>
      </c>
      <c r="GU120" t="s">
        <v>3</v>
      </c>
      <c r="GV120">
        <f t="shared" si="111"/>
        <v>0</v>
      </c>
      <c r="GW120">
        <v>1</v>
      </c>
      <c r="GX120">
        <f t="shared" si="112"/>
        <v>0</v>
      </c>
      <c r="HA120">
        <v>0</v>
      </c>
      <c r="HB120">
        <v>0</v>
      </c>
      <c r="HC120">
        <f t="shared" si="113"/>
        <v>0</v>
      </c>
      <c r="HE120" t="s">
        <v>3</v>
      </c>
      <c r="HF120" t="s">
        <v>3</v>
      </c>
      <c r="HM120" t="s">
        <v>3</v>
      </c>
      <c r="HN120" t="s">
        <v>3</v>
      </c>
      <c r="HO120" t="s">
        <v>3</v>
      </c>
      <c r="HP120" t="s">
        <v>3</v>
      </c>
      <c r="HQ120" t="s">
        <v>3</v>
      </c>
      <c r="HS120">
        <v>0</v>
      </c>
      <c r="IK120">
        <v>0</v>
      </c>
    </row>
    <row r="121" spans="1:245" x14ac:dyDescent="0.25">
      <c r="A121">
        <v>17</v>
      </c>
      <c r="B121">
        <v>1</v>
      </c>
      <c r="C121">
        <f>ROW(SmtRes!A32)</f>
        <v>32</v>
      </c>
      <c r="D121">
        <f>ROW(EtalonRes!A32)</f>
        <v>32</v>
      </c>
      <c r="E121" t="s">
        <v>148</v>
      </c>
      <c r="F121" t="s">
        <v>149</v>
      </c>
      <c r="G121" t="s">
        <v>150</v>
      </c>
      <c r="H121" t="s">
        <v>29</v>
      </c>
      <c r="I121">
        <v>226.66399999999999</v>
      </c>
      <c r="J121">
        <v>0</v>
      </c>
      <c r="K121">
        <v>226.66399999999999</v>
      </c>
      <c r="O121">
        <f t="shared" si="80"/>
        <v>1073888.7</v>
      </c>
      <c r="P121">
        <f t="shared" si="81"/>
        <v>0</v>
      </c>
      <c r="Q121">
        <f t="shared" si="82"/>
        <v>55396.68</v>
      </c>
      <c r="R121">
        <f t="shared" si="83"/>
        <v>5575.93</v>
      </c>
      <c r="S121">
        <f t="shared" si="84"/>
        <v>1018492.02</v>
      </c>
      <c r="T121">
        <f t="shared" si="85"/>
        <v>0</v>
      </c>
      <c r="U121">
        <f t="shared" si="86"/>
        <v>2221.3072000000002</v>
      </c>
      <c r="V121">
        <f t="shared" si="87"/>
        <v>0</v>
      </c>
      <c r="W121">
        <f t="shared" si="88"/>
        <v>0</v>
      </c>
      <c r="X121">
        <f t="shared" si="89"/>
        <v>712944.41</v>
      </c>
      <c r="Y121">
        <f t="shared" si="90"/>
        <v>101849.2</v>
      </c>
      <c r="AA121">
        <v>80891843</v>
      </c>
      <c r="AB121">
        <f t="shared" si="91"/>
        <v>4737.8</v>
      </c>
      <c r="AC121">
        <f>ROUND(((ES121*10)),6)</f>
        <v>0</v>
      </c>
      <c r="AD121">
        <f>ROUND(((((ET121*10))-((EU121*10)))+AE121),6)</f>
        <v>244.4</v>
      </c>
      <c r="AE121">
        <f>ROUND(((EU121*10)),6)</f>
        <v>24.6</v>
      </c>
      <c r="AF121">
        <f>ROUND(((EV121*10)),6)</f>
        <v>4493.3999999999996</v>
      </c>
      <c r="AG121">
        <f t="shared" si="93"/>
        <v>0</v>
      </c>
      <c r="AH121">
        <f>((EW121*10))</f>
        <v>9.8000000000000007</v>
      </c>
      <c r="AI121">
        <f>((EX121*10))</f>
        <v>0</v>
      </c>
      <c r="AJ121">
        <f t="shared" si="95"/>
        <v>0</v>
      </c>
      <c r="AK121">
        <v>473.78</v>
      </c>
      <c r="AL121">
        <v>0</v>
      </c>
      <c r="AM121">
        <v>24.44</v>
      </c>
      <c r="AN121">
        <v>2.46</v>
      </c>
      <c r="AO121">
        <v>449.34</v>
      </c>
      <c r="AP121">
        <v>0</v>
      </c>
      <c r="AQ121">
        <v>0.98</v>
      </c>
      <c r="AR121">
        <v>0</v>
      </c>
      <c r="AS121">
        <v>0</v>
      </c>
      <c r="AT121">
        <v>70</v>
      </c>
      <c r="AU121">
        <v>10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4</v>
      </c>
      <c r="BJ121" t="s">
        <v>151</v>
      </c>
      <c r="BM121">
        <v>0</v>
      </c>
      <c r="BN121">
        <v>0</v>
      </c>
      <c r="BO121" t="s">
        <v>3</v>
      </c>
      <c r="BP121">
        <v>0</v>
      </c>
      <c r="BQ121">
        <v>1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70</v>
      </c>
      <c r="CA121">
        <v>10</v>
      </c>
      <c r="CB121" t="s">
        <v>3</v>
      </c>
      <c r="CE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si="96"/>
        <v>1073888.7</v>
      </c>
      <c r="CQ121">
        <f t="shared" si="97"/>
        <v>0</v>
      </c>
      <c r="CR121">
        <f>(((((ET121*10))*BB121-((EU121*10))*BS121)+AE121*BS121)*AV121)</f>
        <v>244.4</v>
      </c>
      <c r="CS121">
        <f t="shared" si="98"/>
        <v>24.6</v>
      </c>
      <c r="CT121">
        <f t="shared" si="99"/>
        <v>4493.3999999999996</v>
      </c>
      <c r="CU121">
        <f t="shared" si="100"/>
        <v>0</v>
      </c>
      <c r="CV121">
        <f t="shared" si="101"/>
        <v>9.8000000000000007</v>
      </c>
      <c r="CW121">
        <f t="shared" si="102"/>
        <v>0</v>
      </c>
      <c r="CX121">
        <f t="shared" si="103"/>
        <v>0</v>
      </c>
      <c r="CY121">
        <f t="shared" si="104"/>
        <v>712944.41400000011</v>
      </c>
      <c r="CZ121">
        <f t="shared" si="105"/>
        <v>101849.20199999999</v>
      </c>
      <c r="DC121" t="s">
        <v>3</v>
      </c>
      <c r="DD121" t="s">
        <v>129</v>
      </c>
      <c r="DE121" t="s">
        <v>129</v>
      </c>
      <c r="DF121" t="s">
        <v>129</v>
      </c>
      <c r="DG121" t="s">
        <v>129</v>
      </c>
      <c r="DH121" t="s">
        <v>3</v>
      </c>
      <c r="DI121" t="s">
        <v>129</v>
      </c>
      <c r="DJ121" t="s">
        <v>129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1005</v>
      </c>
      <c r="DV121" t="s">
        <v>29</v>
      </c>
      <c r="DW121" t="s">
        <v>29</v>
      </c>
      <c r="DX121">
        <v>100</v>
      </c>
      <c r="DZ121" t="s">
        <v>3</v>
      </c>
      <c r="EA121" t="s">
        <v>3</v>
      </c>
      <c r="EB121" t="s">
        <v>3</v>
      </c>
      <c r="EC121" t="s">
        <v>3</v>
      </c>
      <c r="EE121">
        <v>80196140</v>
      </c>
      <c r="EF121">
        <v>1</v>
      </c>
      <c r="EG121" t="s">
        <v>23</v>
      </c>
      <c r="EH121">
        <v>0</v>
      </c>
      <c r="EI121" t="s">
        <v>3</v>
      </c>
      <c r="EJ121">
        <v>4</v>
      </c>
      <c r="EK121">
        <v>0</v>
      </c>
      <c r="EL121" t="s">
        <v>24</v>
      </c>
      <c r="EM121" t="s">
        <v>25</v>
      </c>
      <c r="EO121" t="s">
        <v>3</v>
      </c>
      <c r="EQ121">
        <v>0</v>
      </c>
      <c r="ER121">
        <v>473.78</v>
      </c>
      <c r="ES121">
        <v>0</v>
      </c>
      <c r="ET121">
        <v>24.44</v>
      </c>
      <c r="EU121">
        <v>2.46</v>
      </c>
      <c r="EV121">
        <v>449.34</v>
      </c>
      <c r="EW121">
        <v>0.98</v>
      </c>
      <c r="EX121">
        <v>0</v>
      </c>
      <c r="EY121">
        <v>0</v>
      </c>
      <c r="FQ121">
        <v>0</v>
      </c>
      <c r="FR121">
        <v>0</v>
      </c>
      <c r="FS121">
        <v>0</v>
      </c>
      <c r="FX121">
        <v>70</v>
      </c>
      <c r="FY121">
        <v>10</v>
      </c>
      <c r="GA121" t="s">
        <v>3</v>
      </c>
      <c r="GD121">
        <v>0</v>
      </c>
      <c r="GF121">
        <v>-1313962782</v>
      </c>
      <c r="GG121">
        <v>2</v>
      </c>
      <c r="GH121">
        <v>1</v>
      </c>
      <c r="GI121">
        <v>-2</v>
      </c>
      <c r="GJ121">
        <v>0</v>
      </c>
      <c r="GK121">
        <f>ROUND(R121*(R12)/100,2)</f>
        <v>6022</v>
      </c>
      <c r="GL121">
        <f t="shared" si="106"/>
        <v>0</v>
      </c>
      <c r="GM121">
        <f t="shared" si="107"/>
        <v>1894704.31</v>
      </c>
      <c r="GN121">
        <f t="shared" si="108"/>
        <v>0</v>
      </c>
      <c r="GO121">
        <f t="shared" si="109"/>
        <v>0</v>
      </c>
      <c r="GP121">
        <f t="shared" si="110"/>
        <v>1894704.31</v>
      </c>
      <c r="GR121">
        <v>0</v>
      </c>
      <c r="GS121">
        <v>3</v>
      </c>
      <c r="GT121">
        <v>0</v>
      </c>
      <c r="GU121" t="s">
        <v>3</v>
      </c>
      <c r="GV121">
        <f t="shared" si="111"/>
        <v>0</v>
      </c>
      <c r="GW121">
        <v>1</v>
      </c>
      <c r="GX121">
        <f t="shared" si="112"/>
        <v>0</v>
      </c>
      <c r="HA121">
        <v>0</v>
      </c>
      <c r="HB121">
        <v>0</v>
      </c>
      <c r="HC121">
        <f t="shared" si="113"/>
        <v>0</v>
      </c>
      <c r="HE121" t="s">
        <v>3</v>
      </c>
      <c r="HF121" t="s">
        <v>3</v>
      </c>
      <c r="HM121" t="s">
        <v>3</v>
      </c>
      <c r="HN121" t="s">
        <v>3</v>
      </c>
      <c r="HO121" t="s">
        <v>3</v>
      </c>
      <c r="HP121" t="s">
        <v>3</v>
      </c>
      <c r="HQ121" t="s">
        <v>3</v>
      </c>
      <c r="HS121">
        <v>0</v>
      </c>
      <c r="IK121">
        <v>0</v>
      </c>
    </row>
    <row r="122" spans="1:245" x14ac:dyDescent="0.25">
      <c r="A122">
        <v>17</v>
      </c>
      <c r="B122">
        <v>1</v>
      </c>
      <c r="C122">
        <f>ROW(SmtRes!A35)</f>
        <v>35</v>
      </c>
      <c r="D122">
        <f>ROW(EtalonRes!A35)</f>
        <v>35</v>
      </c>
      <c r="E122" t="s">
        <v>3</v>
      </c>
      <c r="F122" t="s">
        <v>152</v>
      </c>
      <c r="G122" t="s">
        <v>153</v>
      </c>
      <c r="H122" t="s">
        <v>39</v>
      </c>
      <c r="I122">
        <v>113.33</v>
      </c>
      <c r="J122">
        <v>0</v>
      </c>
      <c r="K122">
        <v>113.33</v>
      </c>
      <c r="O122">
        <f t="shared" si="80"/>
        <v>1287961.45</v>
      </c>
      <c r="P122">
        <f t="shared" si="81"/>
        <v>62116.17</v>
      </c>
      <c r="Q122">
        <f t="shared" si="82"/>
        <v>1019142.69</v>
      </c>
      <c r="R122">
        <f t="shared" si="83"/>
        <v>351844.32</v>
      </c>
      <c r="S122">
        <f t="shared" si="84"/>
        <v>206702.59</v>
      </c>
      <c r="T122">
        <f t="shared" si="85"/>
        <v>0</v>
      </c>
      <c r="U122">
        <f t="shared" si="86"/>
        <v>634.64800000000002</v>
      </c>
      <c r="V122">
        <f t="shared" si="87"/>
        <v>0</v>
      </c>
      <c r="W122">
        <f t="shared" si="88"/>
        <v>0</v>
      </c>
      <c r="X122">
        <f t="shared" si="89"/>
        <v>144691.81</v>
      </c>
      <c r="Y122">
        <f t="shared" si="90"/>
        <v>20670.259999999998</v>
      </c>
      <c r="AA122">
        <v>-1</v>
      </c>
      <c r="AB122">
        <f t="shared" si="91"/>
        <v>11364.7</v>
      </c>
      <c r="AC122">
        <f>ROUND(((ES122*10)),6)</f>
        <v>548.1</v>
      </c>
      <c r="AD122">
        <f>ROUND(((((ET122*10))-((EU122*10)))+AE122),6)</f>
        <v>8992.7000000000007</v>
      </c>
      <c r="AE122">
        <f>ROUND(((EU122*10)),6)</f>
        <v>3104.6</v>
      </c>
      <c r="AF122">
        <f>ROUND(((EV122*10)),6)</f>
        <v>1823.9</v>
      </c>
      <c r="AG122">
        <f t="shared" si="93"/>
        <v>0</v>
      </c>
      <c r="AH122">
        <f>((EW122*10))</f>
        <v>5.6000000000000005</v>
      </c>
      <c r="AI122">
        <f>((EX122*10))</f>
        <v>0</v>
      </c>
      <c r="AJ122">
        <f t="shared" si="95"/>
        <v>0</v>
      </c>
      <c r="AK122">
        <v>1136.47</v>
      </c>
      <c r="AL122">
        <v>54.81</v>
      </c>
      <c r="AM122">
        <v>899.27</v>
      </c>
      <c r="AN122">
        <v>310.45999999999998</v>
      </c>
      <c r="AO122">
        <v>182.39</v>
      </c>
      <c r="AP122">
        <v>0</v>
      </c>
      <c r="AQ122">
        <v>0.56000000000000005</v>
      </c>
      <c r="AR122">
        <v>0</v>
      </c>
      <c r="AS122">
        <v>0</v>
      </c>
      <c r="AT122">
        <v>70</v>
      </c>
      <c r="AU122">
        <v>10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0</v>
      </c>
      <c r="BI122">
        <v>4</v>
      </c>
      <c r="BJ122" t="s">
        <v>154</v>
      </c>
      <c r="BM122">
        <v>0</v>
      </c>
      <c r="BN122">
        <v>0</v>
      </c>
      <c r="BO122" t="s">
        <v>3</v>
      </c>
      <c r="BP122">
        <v>0</v>
      </c>
      <c r="BQ122">
        <v>1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70</v>
      </c>
      <c r="CA122">
        <v>10</v>
      </c>
      <c r="CB122" t="s">
        <v>3</v>
      </c>
      <c r="CE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96"/>
        <v>1287961.45</v>
      </c>
      <c r="CQ122">
        <f t="shared" si="97"/>
        <v>548.1</v>
      </c>
      <c r="CR122">
        <f>(((((ET122*10))*BB122-((EU122*10))*BS122)+AE122*BS122)*AV122)</f>
        <v>8992.7000000000007</v>
      </c>
      <c r="CS122">
        <f t="shared" si="98"/>
        <v>3104.6</v>
      </c>
      <c r="CT122">
        <f t="shared" si="99"/>
        <v>1823.9</v>
      </c>
      <c r="CU122">
        <f t="shared" si="100"/>
        <v>0</v>
      </c>
      <c r="CV122">
        <f t="shared" si="101"/>
        <v>5.6000000000000005</v>
      </c>
      <c r="CW122">
        <f t="shared" si="102"/>
        <v>0</v>
      </c>
      <c r="CX122">
        <f t="shared" si="103"/>
        <v>0</v>
      </c>
      <c r="CY122">
        <f t="shared" si="104"/>
        <v>144691.81299999999</v>
      </c>
      <c r="CZ122">
        <f t="shared" si="105"/>
        <v>20670.258999999998</v>
      </c>
      <c r="DC122" t="s">
        <v>3</v>
      </c>
      <c r="DD122" t="s">
        <v>129</v>
      </c>
      <c r="DE122" t="s">
        <v>129</v>
      </c>
      <c r="DF122" t="s">
        <v>129</v>
      </c>
      <c r="DG122" t="s">
        <v>129</v>
      </c>
      <c r="DH122" t="s">
        <v>3</v>
      </c>
      <c r="DI122" t="s">
        <v>129</v>
      </c>
      <c r="DJ122" t="s">
        <v>129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1007</v>
      </c>
      <c r="DV122" t="s">
        <v>39</v>
      </c>
      <c r="DW122" t="s">
        <v>39</v>
      </c>
      <c r="DX122">
        <v>1</v>
      </c>
      <c r="DZ122" t="s">
        <v>3</v>
      </c>
      <c r="EA122" t="s">
        <v>3</v>
      </c>
      <c r="EB122" t="s">
        <v>3</v>
      </c>
      <c r="EC122" t="s">
        <v>3</v>
      </c>
      <c r="EE122">
        <v>80196140</v>
      </c>
      <c r="EF122">
        <v>1</v>
      </c>
      <c r="EG122" t="s">
        <v>23</v>
      </c>
      <c r="EH122">
        <v>0</v>
      </c>
      <c r="EI122" t="s">
        <v>3</v>
      </c>
      <c r="EJ122">
        <v>4</v>
      </c>
      <c r="EK122">
        <v>0</v>
      </c>
      <c r="EL122" t="s">
        <v>24</v>
      </c>
      <c r="EM122" t="s">
        <v>25</v>
      </c>
      <c r="EO122" t="s">
        <v>3</v>
      </c>
      <c r="EQ122">
        <v>1024</v>
      </c>
      <c r="ER122">
        <v>1136.47</v>
      </c>
      <c r="ES122">
        <v>54.81</v>
      </c>
      <c r="ET122">
        <v>899.27</v>
      </c>
      <c r="EU122">
        <v>310.45999999999998</v>
      </c>
      <c r="EV122">
        <v>182.39</v>
      </c>
      <c r="EW122">
        <v>0.56000000000000005</v>
      </c>
      <c r="EX122">
        <v>0</v>
      </c>
      <c r="EY122">
        <v>0</v>
      </c>
      <c r="FQ122">
        <v>0</v>
      </c>
      <c r="FR122">
        <v>0</v>
      </c>
      <c r="FS122">
        <v>0</v>
      </c>
      <c r="FX122">
        <v>70</v>
      </c>
      <c r="FY122">
        <v>10</v>
      </c>
      <c r="GA122" t="s">
        <v>3</v>
      </c>
      <c r="GD122">
        <v>0</v>
      </c>
      <c r="GF122">
        <v>-1576223679</v>
      </c>
      <c r="GG122">
        <v>2</v>
      </c>
      <c r="GH122">
        <v>1</v>
      </c>
      <c r="GI122">
        <v>-2</v>
      </c>
      <c r="GJ122">
        <v>0</v>
      </c>
      <c r="GK122">
        <f>ROUND(R122*(R12)/100,2)</f>
        <v>379991.87</v>
      </c>
      <c r="GL122">
        <f t="shared" si="106"/>
        <v>0</v>
      </c>
      <c r="GM122">
        <f t="shared" si="107"/>
        <v>1833315.39</v>
      </c>
      <c r="GN122">
        <f t="shared" si="108"/>
        <v>0</v>
      </c>
      <c r="GO122">
        <f t="shared" si="109"/>
        <v>0</v>
      </c>
      <c r="GP122">
        <f t="shared" si="110"/>
        <v>1833315.39</v>
      </c>
      <c r="GR122">
        <v>0</v>
      </c>
      <c r="GS122">
        <v>3</v>
      </c>
      <c r="GT122">
        <v>0</v>
      </c>
      <c r="GU122" t="s">
        <v>3</v>
      </c>
      <c r="GV122">
        <f t="shared" si="111"/>
        <v>0</v>
      </c>
      <c r="GW122">
        <v>1</v>
      </c>
      <c r="GX122">
        <f t="shared" si="112"/>
        <v>0</v>
      </c>
      <c r="HA122">
        <v>0</v>
      </c>
      <c r="HB122">
        <v>0</v>
      </c>
      <c r="HC122">
        <f t="shared" si="113"/>
        <v>0</v>
      </c>
      <c r="HE122" t="s">
        <v>3</v>
      </c>
      <c r="HF122" t="s">
        <v>3</v>
      </c>
      <c r="HM122" t="s">
        <v>3</v>
      </c>
      <c r="HN122" t="s">
        <v>3</v>
      </c>
      <c r="HO122" t="s">
        <v>3</v>
      </c>
      <c r="HP122" t="s">
        <v>3</v>
      </c>
      <c r="HQ122" t="s">
        <v>3</v>
      </c>
      <c r="HS122">
        <v>0</v>
      </c>
      <c r="IK122">
        <v>0</v>
      </c>
    </row>
    <row r="123" spans="1:245" x14ac:dyDescent="0.25">
      <c r="A123">
        <v>18</v>
      </c>
      <c r="B123">
        <v>1</v>
      </c>
      <c r="C123">
        <v>35</v>
      </c>
      <c r="E123" t="s">
        <v>3</v>
      </c>
      <c r="F123" t="s">
        <v>37</v>
      </c>
      <c r="G123" t="s">
        <v>38</v>
      </c>
      <c r="H123" t="s">
        <v>39</v>
      </c>
      <c r="I123">
        <f>I122*J123</f>
        <v>-1133.3</v>
      </c>
      <c r="J123">
        <v>-10</v>
      </c>
      <c r="K123">
        <v>-1</v>
      </c>
      <c r="O123">
        <f t="shared" si="80"/>
        <v>-62116.17</v>
      </c>
      <c r="P123">
        <f t="shared" si="81"/>
        <v>-62116.17</v>
      </c>
      <c r="Q123">
        <f t="shared" si="82"/>
        <v>0</v>
      </c>
      <c r="R123">
        <f t="shared" si="83"/>
        <v>0</v>
      </c>
      <c r="S123">
        <f t="shared" si="84"/>
        <v>0</v>
      </c>
      <c r="T123">
        <f t="shared" si="85"/>
        <v>0</v>
      </c>
      <c r="U123">
        <f t="shared" si="86"/>
        <v>0</v>
      </c>
      <c r="V123">
        <f t="shared" si="87"/>
        <v>0</v>
      </c>
      <c r="W123">
        <f t="shared" si="88"/>
        <v>0</v>
      </c>
      <c r="X123">
        <f t="shared" si="89"/>
        <v>0</v>
      </c>
      <c r="Y123">
        <f t="shared" si="90"/>
        <v>0</v>
      </c>
      <c r="AA123">
        <v>-1</v>
      </c>
      <c r="AB123">
        <f t="shared" si="91"/>
        <v>54.81</v>
      </c>
      <c r="AC123">
        <f>ROUND((ES123),6)</f>
        <v>54.81</v>
      </c>
      <c r="AD123">
        <f>ROUND((((ET123)-(EU123))+AE123),6)</f>
        <v>0</v>
      </c>
      <c r="AE123">
        <f t="shared" ref="AE123:AF125" si="114">ROUND((EU123),6)</f>
        <v>0</v>
      </c>
      <c r="AF123">
        <f t="shared" si="114"/>
        <v>0</v>
      </c>
      <c r="AG123">
        <f t="shared" si="93"/>
        <v>0</v>
      </c>
      <c r="AH123">
        <f t="shared" ref="AH123:AI125" si="115">(EW123)</f>
        <v>0</v>
      </c>
      <c r="AI123">
        <f t="shared" si="115"/>
        <v>0</v>
      </c>
      <c r="AJ123">
        <f t="shared" si="95"/>
        <v>0</v>
      </c>
      <c r="AK123">
        <v>54.81</v>
      </c>
      <c r="AL123">
        <v>54.81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70</v>
      </c>
      <c r="AU123">
        <v>10</v>
      </c>
      <c r="AV123">
        <v>1</v>
      </c>
      <c r="AW123">
        <v>1</v>
      </c>
      <c r="AZ123">
        <v>1</v>
      </c>
      <c r="BA123">
        <v>1</v>
      </c>
      <c r="BB123">
        <v>1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3</v>
      </c>
      <c r="BI123">
        <v>4</v>
      </c>
      <c r="BJ123" t="s">
        <v>40</v>
      </c>
      <c r="BM123">
        <v>0</v>
      </c>
      <c r="BN123">
        <v>0</v>
      </c>
      <c r="BO123" t="s">
        <v>3</v>
      </c>
      <c r="BP123">
        <v>0</v>
      </c>
      <c r="BQ123">
        <v>1</v>
      </c>
      <c r="BR123">
        <v>1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70</v>
      </c>
      <c r="CA123">
        <v>10</v>
      </c>
      <c r="CB123" t="s">
        <v>3</v>
      </c>
      <c r="CE123">
        <v>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si="96"/>
        <v>-62116.17</v>
      </c>
      <c r="CQ123">
        <f t="shared" si="97"/>
        <v>54.81</v>
      </c>
      <c r="CR123">
        <f>((((ET123)*BB123-(EU123)*BS123)+AE123*BS123)*AV123)</f>
        <v>0</v>
      </c>
      <c r="CS123">
        <f t="shared" si="98"/>
        <v>0</v>
      </c>
      <c r="CT123">
        <f t="shared" si="99"/>
        <v>0</v>
      </c>
      <c r="CU123">
        <f t="shared" si="100"/>
        <v>0</v>
      </c>
      <c r="CV123">
        <f t="shared" si="101"/>
        <v>0</v>
      </c>
      <c r="CW123">
        <f t="shared" si="102"/>
        <v>0</v>
      </c>
      <c r="CX123">
        <f t="shared" si="103"/>
        <v>0</v>
      </c>
      <c r="CY123">
        <f t="shared" si="104"/>
        <v>0</v>
      </c>
      <c r="CZ123">
        <f t="shared" si="105"/>
        <v>0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1007</v>
      </c>
      <c r="DV123" t="s">
        <v>39</v>
      </c>
      <c r="DW123" t="s">
        <v>39</v>
      </c>
      <c r="DX123">
        <v>1</v>
      </c>
      <c r="DZ123" t="s">
        <v>3</v>
      </c>
      <c r="EA123" t="s">
        <v>3</v>
      </c>
      <c r="EB123" t="s">
        <v>3</v>
      </c>
      <c r="EC123" t="s">
        <v>3</v>
      </c>
      <c r="EE123">
        <v>80196140</v>
      </c>
      <c r="EF123">
        <v>1</v>
      </c>
      <c r="EG123" t="s">
        <v>23</v>
      </c>
      <c r="EH123">
        <v>0</v>
      </c>
      <c r="EI123" t="s">
        <v>3</v>
      </c>
      <c r="EJ123">
        <v>4</v>
      </c>
      <c r="EK123">
        <v>0</v>
      </c>
      <c r="EL123" t="s">
        <v>24</v>
      </c>
      <c r="EM123" t="s">
        <v>25</v>
      </c>
      <c r="EO123" t="s">
        <v>3</v>
      </c>
      <c r="EQ123">
        <v>1024</v>
      </c>
      <c r="ER123">
        <v>54.81</v>
      </c>
      <c r="ES123">
        <v>54.81</v>
      </c>
      <c r="ET123">
        <v>0</v>
      </c>
      <c r="EU123">
        <v>0</v>
      </c>
      <c r="EV123">
        <v>0</v>
      </c>
      <c r="EW123">
        <v>0</v>
      </c>
      <c r="EX123">
        <v>0</v>
      </c>
      <c r="FQ123">
        <v>0</v>
      </c>
      <c r="FR123">
        <v>0</v>
      </c>
      <c r="FS123">
        <v>0</v>
      </c>
      <c r="FX123">
        <v>70</v>
      </c>
      <c r="FY123">
        <v>10</v>
      </c>
      <c r="GA123" t="s">
        <v>3</v>
      </c>
      <c r="GD123">
        <v>0</v>
      </c>
      <c r="GF123">
        <v>2112060389</v>
      </c>
      <c r="GG123">
        <v>2</v>
      </c>
      <c r="GH123">
        <v>1</v>
      </c>
      <c r="GI123">
        <v>-2</v>
      </c>
      <c r="GJ123">
        <v>0</v>
      </c>
      <c r="GK123">
        <f>ROUND(R123*(R12)/100,2)</f>
        <v>0</v>
      </c>
      <c r="GL123">
        <f t="shared" si="106"/>
        <v>0</v>
      </c>
      <c r="GM123">
        <f t="shared" si="107"/>
        <v>-62116.17</v>
      </c>
      <c r="GN123">
        <f t="shared" si="108"/>
        <v>0</v>
      </c>
      <c r="GO123">
        <f t="shared" si="109"/>
        <v>0</v>
      </c>
      <c r="GP123">
        <f t="shared" si="110"/>
        <v>-62116.17</v>
      </c>
      <c r="GR123">
        <v>0</v>
      </c>
      <c r="GS123">
        <v>3</v>
      </c>
      <c r="GT123">
        <v>0</v>
      </c>
      <c r="GU123" t="s">
        <v>3</v>
      </c>
      <c r="GV123">
        <f t="shared" si="111"/>
        <v>0</v>
      </c>
      <c r="GW123">
        <v>1</v>
      </c>
      <c r="GX123">
        <f t="shared" si="112"/>
        <v>0</v>
      </c>
      <c r="HA123">
        <v>0</v>
      </c>
      <c r="HB123">
        <v>0</v>
      </c>
      <c r="HC123">
        <f t="shared" si="113"/>
        <v>0</v>
      </c>
      <c r="HE123" t="s">
        <v>3</v>
      </c>
      <c r="HF123" t="s">
        <v>3</v>
      </c>
      <c r="HM123" t="s">
        <v>129</v>
      </c>
      <c r="HN123" t="s">
        <v>3</v>
      </c>
      <c r="HO123" t="s">
        <v>3</v>
      </c>
      <c r="HP123" t="s">
        <v>3</v>
      </c>
      <c r="HQ123" t="s">
        <v>3</v>
      </c>
      <c r="HS123">
        <v>0</v>
      </c>
      <c r="IK123">
        <v>0</v>
      </c>
    </row>
    <row r="124" spans="1:245" x14ac:dyDescent="0.25">
      <c r="A124">
        <v>17</v>
      </c>
      <c r="B124">
        <v>1</v>
      </c>
      <c r="C124">
        <f>ROW(SmtRes!A37)</f>
        <v>37</v>
      </c>
      <c r="D124">
        <f>ROW(EtalonRes!A37)</f>
        <v>37</v>
      </c>
      <c r="E124" t="s">
        <v>3</v>
      </c>
      <c r="F124" t="s">
        <v>155</v>
      </c>
      <c r="G124" t="s">
        <v>156</v>
      </c>
      <c r="H124" t="s">
        <v>29</v>
      </c>
      <c r="I124">
        <v>226.66399999999999</v>
      </c>
      <c r="J124">
        <v>0</v>
      </c>
      <c r="K124">
        <v>226.66399999999999</v>
      </c>
      <c r="O124">
        <f t="shared" si="80"/>
        <v>79688.259999999995</v>
      </c>
      <c r="P124">
        <f t="shared" si="81"/>
        <v>0</v>
      </c>
      <c r="Q124">
        <f t="shared" si="82"/>
        <v>0</v>
      </c>
      <c r="R124">
        <f t="shared" si="83"/>
        <v>0</v>
      </c>
      <c r="S124">
        <f t="shared" si="84"/>
        <v>79688.259999999995</v>
      </c>
      <c r="T124">
        <f t="shared" si="85"/>
        <v>0</v>
      </c>
      <c r="U124">
        <f t="shared" si="86"/>
        <v>158.66479999999999</v>
      </c>
      <c r="V124">
        <f t="shared" si="87"/>
        <v>0</v>
      </c>
      <c r="W124">
        <f t="shared" si="88"/>
        <v>0</v>
      </c>
      <c r="X124">
        <f t="shared" si="89"/>
        <v>55781.78</v>
      </c>
      <c r="Y124">
        <f t="shared" si="90"/>
        <v>7968.83</v>
      </c>
      <c r="AA124">
        <v>-1</v>
      </c>
      <c r="AB124">
        <f t="shared" si="91"/>
        <v>351.57</v>
      </c>
      <c r="AC124">
        <f>ROUND((ES124),6)</f>
        <v>0</v>
      </c>
      <c r="AD124">
        <f>ROUND((((ET124)-(EU124))+AE124),6)</f>
        <v>0</v>
      </c>
      <c r="AE124">
        <f t="shared" si="114"/>
        <v>0</v>
      </c>
      <c r="AF124">
        <f t="shared" si="114"/>
        <v>351.57</v>
      </c>
      <c r="AG124">
        <f t="shared" si="93"/>
        <v>0</v>
      </c>
      <c r="AH124">
        <f t="shared" si="115"/>
        <v>0.7</v>
      </c>
      <c r="AI124">
        <f t="shared" si="115"/>
        <v>0</v>
      </c>
      <c r="AJ124">
        <f t="shared" si="95"/>
        <v>0</v>
      </c>
      <c r="AK124">
        <v>351.57</v>
      </c>
      <c r="AL124">
        <v>0</v>
      </c>
      <c r="AM124">
        <v>0</v>
      </c>
      <c r="AN124">
        <v>0</v>
      </c>
      <c r="AO124">
        <v>351.57</v>
      </c>
      <c r="AP124">
        <v>0</v>
      </c>
      <c r="AQ124">
        <v>0.7</v>
      </c>
      <c r="AR124">
        <v>0</v>
      </c>
      <c r="AS124">
        <v>0</v>
      </c>
      <c r="AT124">
        <v>70</v>
      </c>
      <c r="AU124">
        <v>10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4</v>
      </c>
      <c r="BJ124" t="s">
        <v>157</v>
      </c>
      <c r="BM124">
        <v>0</v>
      </c>
      <c r="BN124">
        <v>0</v>
      </c>
      <c r="BO124" t="s">
        <v>3</v>
      </c>
      <c r="BP124">
        <v>0</v>
      </c>
      <c r="BQ124">
        <v>1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70</v>
      </c>
      <c r="CA124">
        <v>10</v>
      </c>
      <c r="CB124" t="s">
        <v>3</v>
      </c>
      <c r="CE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96"/>
        <v>79688.259999999995</v>
      </c>
      <c r="CQ124">
        <f t="shared" si="97"/>
        <v>0</v>
      </c>
      <c r="CR124">
        <f>((((ET124)*BB124-(EU124)*BS124)+AE124*BS124)*AV124)</f>
        <v>0</v>
      </c>
      <c r="CS124">
        <f t="shared" si="98"/>
        <v>0</v>
      </c>
      <c r="CT124">
        <f t="shared" si="99"/>
        <v>351.57</v>
      </c>
      <c r="CU124">
        <f t="shared" si="100"/>
        <v>0</v>
      </c>
      <c r="CV124">
        <f t="shared" si="101"/>
        <v>0.7</v>
      </c>
      <c r="CW124">
        <f t="shared" si="102"/>
        <v>0</v>
      </c>
      <c r="CX124">
        <f t="shared" si="103"/>
        <v>0</v>
      </c>
      <c r="CY124">
        <f t="shared" si="104"/>
        <v>55781.781999999992</v>
      </c>
      <c r="CZ124">
        <f t="shared" si="105"/>
        <v>7968.826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1005</v>
      </c>
      <c r="DV124" t="s">
        <v>29</v>
      </c>
      <c r="DW124" t="s">
        <v>29</v>
      </c>
      <c r="DX124">
        <v>100</v>
      </c>
      <c r="DZ124" t="s">
        <v>3</v>
      </c>
      <c r="EA124" t="s">
        <v>3</v>
      </c>
      <c r="EB124" t="s">
        <v>3</v>
      </c>
      <c r="EC124" t="s">
        <v>3</v>
      </c>
      <c r="EE124">
        <v>80196140</v>
      </c>
      <c r="EF124">
        <v>1</v>
      </c>
      <c r="EG124" t="s">
        <v>23</v>
      </c>
      <c r="EH124">
        <v>0</v>
      </c>
      <c r="EI124" t="s">
        <v>3</v>
      </c>
      <c r="EJ124">
        <v>4</v>
      </c>
      <c r="EK124">
        <v>0</v>
      </c>
      <c r="EL124" t="s">
        <v>24</v>
      </c>
      <c r="EM124" t="s">
        <v>25</v>
      </c>
      <c r="EO124" t="s">
        <v>3</v>
      </c>
      <c r="EQ124">
        <v>1024</v>
      </c>
      <c r="ER124">
        <v>351.57</v>
      </c>
      <c r="ES124">
        <v>0</v>
      </c>
      <c r="ET124">
        <v>0</v>
      </c>
      <c r="EU124">
        <v>0</v>
      </c>
      <c r="EV124">
        <v>351.57</v>
      </c>
      <c r="EW124">
        <v>0.7</v>
      </c>
      <c r="EX124">
        <v>0</v>
      </c>
      <c r="EY124">
        <v>0</v>
      </c>
      <c r="FQ124">
        <v>0</v>
      </c>
      <c r="FR124">
        <v>0</v>
      </c>
      <c r="FS124">
        <v>0</v>
      </c>
      <c r="FX124">
        <v>70</v>
      </c>
      <c r="FY124">
        <v>10</v>
      </c>
      <c r="GA124" t="s">
        <v>3</v>
      </c>
      <c r="GD124">
        <v>0</v>
      </c>
      <c r="GF124">
        <v>1256345573</v>
      </c>
      <c r="GG124">
        <v>2</v>
      </c>
      <c r="GH124">
        <v>1</v>
      </c>
      <c r="GI124">
        <v>-2</v>
      </c>
      <c r="GJ124">
        <v>0</v>
      </c>
      <c r="GK124">
        <f>ROUND(R124*(R12)/100,2)</f>
        <v>0</v>
      </c>
      <c r="GL124">
        <f t="shared" si="106"/>
        <v>0</v>
      </c>
      <c r="GM124">
        <f t="shared" si="107"/>
        <v>143438.87</v>
      </c>
      <c r="GN124">
        <f t="shared" si="108"/>
        <v>0</v>
      </c>
      <c r="GO124">
        <f t="shared" si="109"/>
        <v>0</v>
      </c>
      <c r="GP124">
        <f t="shared" si="110"/>
        <v>143438.87</v>
      </c>
      <c r="GR124">
        <v>0</v>
      </c>
      <c r="GS124">
        <v>3</v>
      </c>
      <c r="GT124">
        <v>0</v>
      </c>
      <c r="GU124" t="s">
        <v>3</v>
      </c>
      <c r="GV124">
        <f t="shared" si="111"/>
        <v>0</v>
      </c>
      <c r="GW124">
        <v>1</v>
      </c>
      <c r="GX124">
        <f t="shared" si="112"/>
        <v>0</v>
      </c>
      <c r="HA124">
        <v>0</v>
      </c>
      <c r="HB124">
        <v>0</v>
      </c>
      <c r="HC124">
        <f t="shared" si="113"/>
        <v>0</v>
      </c>
      <c r="HE124" t="s">
        <v>3</v>
      </c>
      <c r="HF124" t="s">
        <v>3</v>
      </c>
      <c r="HM124" t="s">
        <v>3</v>
      </c>
      <c r="HN124" t="s">
        <v>3</v>
      </c>
      <c r="HO124" t="s">
        <v>3</v>
      </c>
      <c r="HP124" t="s">
        <v>3</v>
      </c>
      <c r="HQ124" t="s">
        <v>3</v>
      </c>
      <c r="HS124">
        <v>0</v>
      </c>
      <c r="IK124">
        <v>0</v>
      </c>
    </row>
    <row r="125" spans="1:245" x14ac:dyDescent="0.25">
      <c r="A125">
        <v>18</v>
      </c>
      <c r="B125">
        <v>1</v>
      </c>
      <c r="C125">
        <v>37</v>
      </c>
      <c r="E125" t="s">
        <v>3</v>
      </c>
      <c r="F125" t="s">
        <v>158</v>
      </c>
      <c r="G125" t="s">
        <v>159</v>
      </c>
      <c r="H125" t="s">
        <v>160</v>
      </c>
      <c r="I125">
        <f>I124*J125</f>
        <v>1133.32</v>
      </c>
      <c r="J125">
        <v>5</v>
      </c>
      <c r="K125">
        <v>5</v>
      </c>
      <c r="O125">
        <f t="shared" si="80"/>
        <v>124234.54</v>
      </c>
      <c r="P125">
        <f t="shared" si="81"/>
        <v>124234.54</v>
      </c>
      <c r="Q125">
        <f t="shared" si="82"/>
        <v>0</v>
      </c>
      <c r="R125">
        <f t="shared" si="83"/>
        <v>0</v>
      </c>
      <c r="S125">
        <f t="shared" si="84"/>
        <v>0</v>
      </c>
      <c r="T125">
        <f t="shared" si="85"/>
        <v>0</v>
      </c>
      <c r="U125">
        <f t="shared" si="86"/>
        <v>0</v>
      </c>
      <c r="V125">
        <f t="shared" si="87"/>
        <v>0</v>
      </c>
      <c r="W125">
        <f t="shared" si="88"/>
        <v>0</v>
      </c>
      <c r="X125">
        <f t="shared" si="89"/>
        <v>0</v>
      </c>
      <c r="Y125">
        <f t="shared" si="90"/>
        <v>0</v>
      </c>
      <c r="AA125">
        <v>-1</v>
      </c>
      <c r="AB125">
        <f t="shared" si="91"/>
        <v>109.62</v>
      </c>
      <c r="AC125">
        <f>ROUND((ES125),6)</f>
        <v>109.62</v>
      </c>
      <c r="AD125">
        <f>ROUND((((ET125)-(EU125))+AE125),6)</f>
        <v>0</v>
      </c>
      <c r="AE125">
        <f t="shared" si="114"/>
        <v>0</v>
      </c>
      <c r="AF125">
        <f t="shared" si="114"/>
        <v>0</v>
      </c>
      <c r="AG125">
        <f t="shared" si="93"/>
        <v>0</v>
      </c>
      <c r="AH125">
        <f t="shared" si="115"/>
        <v>0</v>
      </c>
      <c r="AI125">
        <f t="shared" si="115"/>
        <v>0</v>
      </c>
      <c r="AJ125">
        <f t="shared" si="95"/>
        <v>0</v>
      </c>
      <c r="AK125">
        <v>109.62</v>
      </c>
      <c r="AL125">
        <v>109.62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70</v>
      </c>
      <c r="AU125">
        <v>10</v>
      </c>
      <c r="AV125">
        <v>1</v>
      </c>
      <c r="AW125">
        <v>1</v>
      </c>
      <c r="AZ125">
        <v>1</v>
      </c>
      <c r="BA125">
        <v>1</v>
      </c>
      <c r="BB125">
        <v>1</v>
      </c>
      <c r="BC125">
        <v>1</v>
      </c>
      <c r="BD125" t="s">
        <v>3</v>
      </c>
      <c r="BE125" t="s">
        <v>3</v>
      </c>
      <c r="BF125" t="s">
        <v>3</v>
      </c>
      <c r="BG125" t="s">
        <v>3</v>
      </c>
      <c r="BH125">
        <v>3</v>
      </c>
      <c r="BI125">
        <v>4</v>
      </c>
      <c r="BJ125" t="s">
        <v>161</v>
      </c>
      <c r="BM125">
        <v>0</v>
      </c>
      <c r="BN125">
        <v>0</v>
      </c>
      <c r="BO125" t="s">
        <v>3</v>
      </c>
      <c r="BP125">
        <v>0</v>
      </c>
      <c r="BQ125">
        <v>1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70</v>
      </c>
      <c r="CA125">
        <v>10</v>
      </c>
      <c r="CB125" t="s">
        <v>3</v>
      </c>
      <c r="CE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96"/>
        <v>124234.54</v>
      </c>
      <c r="CQ125">
        <f t="shared" si="97"/>
        <v>109.62</v>
      </c>
      <c r="CR125">
        <f>((((ET125)*BB125-(EU125)*BS125)+AE125*BS125)*AV125)</f>
        <v>0</v>
      </c>
      <c r="CS125">
        <f t="shared" si="98"/>
        <v>0</v>
      </c>
      <c r="CT125">
        <f t="shared" si="99"/>
        <v>0</v>
      </c>
      <c r="CU125">
        <f t="shared" si="100"/>
        <v>0</v>
      </c>
      <c r="CV125">
        <f t="shared" si="101"/>
        <v>0</v>
      </c>
      <c r="CW125">
        <f t="shared" si="102"/>
        <v>0</v>
      </c>
      <c r="CX125">
        <f t="shared" si="103"/>
        <v>0</v>
      </c>
      <c r="CY125">
        <f t="shared" si="104"/>
        <v>0</v>
      </c>
      <c r="CZ125">
        <f t="shared" si="105"/>
        <v>0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1009</v>
      </c>
      <c r="DV125" t="s">
        <v>160</v>
      </c>
      <c r="DW125" t="s">
        <v>160</v>
      </c>
      <c r="DX125">
        <v>1</v>
      </c>
      <c r="DZ125" t="s">
        <v>3</v>
      </c>
      <c r="EA125" t="s">
        <v>3</v>
      </c>
      <c r="EB125" t="s">
        <v>3</v>
      </c>
      <c r="EC125" t="s">
        <v>3</v>
      </c>
      <c r="EE125">
        <v>80196140</v>
      </c>
      <c r="EF125">
        <v>1</v>
      </c>
      <c r="EG125" t="s">
        <v>23</v>
      </c>
      <c r="EH125">
        <v>0</v>
      </c>
      <c r="EI125" t="s">
        <v>3</v>
      </c>
      <c r="EJ125">
        <v>4</v>
      </c>
      <c r="EK125">
        <v>0</v>
      </c>
      <c r="EL125" t="s">
        <v>24</v>
      </c>
      <c r="EM125" t="s">
        <v>25</v>
      </c>
      <c r="EO125" t="s">
        <v>3</v>
      </c>
      <c r="EQ125">
        <v>1024</v>
      </c>
      <c r="ER125">
        <v>109.62</v>
      </c>
      <c r="ES125">
        <v>109.62</v>
      </c>
      <c r="ET125">
        <v>0</v>
      </c>
      <c r="EU125">
        <v>0</v>
      </c>
      <c r="EV125">
        <v>0</v>
      </c>
      <c r="EW125">
        <v>0</v>
      </c>
      <c r="EX125">
        <v>0</v>
      </c>
      <c r="FQ125">
        <v>0</v>
      </c>
      <c r="FR125">
        <v>0</v>
      </c>
      <c r="FS125">
        <v>0</v>
      </c>
      <c r="FX125">
        <v>70</v>
      </c>
      <c r="FY125">
        <v>10</v>
      </c>
      <c r="GA125" t="s">
        <v>3</v>
      </c>
      <c r="GD125">
        <v>0</v>
      </c>
      <c r="GF125">
        <v>-606801753</v>
      </c>
      <c r="GG125">
        <v>2</v>
      </c>
      <c r="GH125">
        <v>1</v>
      </c>
      <c r="GI125">
        <v>-2</v>
      </c>
      <c r="GJ125">
        <v>0</v>
      </c>
      <c r="GK125">
        <f>ROUND(R125*(R12)/100,2)</f>
        <v>0</v>
      </c>
      <c r="GL125">
        <f t="shared" si="106"/>
        <v>0</v>
      </c>
      <c r="GM125">
        <f t="shared" si="107"/>
        <v>124234.54</v>
      </c>
      <c r="GN125">
        <f t="shared" si="108"/>
        <v>0</v>
      </c>
      <c r="GO125">
        <f t="shared" si="109"/>
        <v>0</v>
      </c>
      <c r="GP125">
        <f t="shared" si="110"/>
        <v>124234.54</v>
      </c>
      <c r="GR125">
        <v>0</v>
      </c>
      <c r="GS125">
        <v>3</v>
      </c>
      <c r="GT125">
        <v>0</v>
      </c>
      <c r="GU125" t="s">
        <v>3</v>
      </c>
      <c r="GV125">
        <f t="shared" si="111"/>
        <v>0</v>
      </c>
      <c r="GW125">
        <v>1</v>
      </c>
      <c r="GX125">
        <f t="shared" si="112"/>
        <v>0</v>
      </c>
      <c r="HA125">
        <v>0</v>
      </c>
      <c r="HB125">
        <v>0</v>
      </c>
      <c r="HC125">
        <f t="shared" si="113"/>
        <v>0</v>
      </c>
      <c r="HE125" t="s">
        <v>3</v>
      </c>
      <c r="HF125" t="s">
        <v>3</v>
      </c>
      <c r="HM125" t="s">
        <v>3</v>
      </c>
      <c r="HN125" t="s">
        <v>3</v>
      </c>
      <c r="HO125" t="s">
        <v>3</v>
      </c>
      <c r="HP125" t="s">
        <v>3</v>
      </c>
      <c r="HQ125" t="s">
        <v>3</v>
      </c>
      <c r="HS125">
        <v>0</v>
      </c>
      <c r="IK125">
        <v>0</v>
      </c>
    </row>
    <row r="127" spans="1:245" ht="13" x14ac:dyDescent="0.3">
      <c r="A127" s="2">
        <v>51</v>
      </c>
      <c r="B127" s="2">
        <f>B113</f>
        <v>1</v>
      </c>
      <c r="C127" s="2">
        <f>A113</f>
        <v>5</v>
      </c>
      <c r="D127" s="2">
        <f>ROW(A113)</f>
        <v>113</v>
      </c>
      <c r="E127" s="2"/>
      <c r="F127" s="2" t="str">
        <f>IF(F113&lt;&gt;"",F113,"")</f>
        <v>Новый подраздел</v>
      </c>
      <c r="G127" s="2" t="str">
        <f>IF(G113&lt;&gt;"",G113,"")</f>
        <v xml:space="preserve">Подраздел: УХОД ЗА ЗЕЛЕНЫМИ НАСАЖДЕНИЯМИ </v>
      </c>
      <c r="H127" s="2">
        <v>0</v>
      </c>
      <c r="I127" s="2"/>
      <c r="J127" s="2"/>
      <c r="K127" s="2"/>
      <c r="L127" s="2"/>
      <c r="M127" s="2"/>
      <c r="N127" s="2"/>
      <c r="O127" s="2">
        <f t="shared" ref="O127:T127" si="116">ROUND(AB127,2)</f>
        <v>1286519.03</v>
      </c>
      <c r="P127" s="2">
        <f t="shared" si="116"/>
        <v>8209.32</v>
      </c>
      <c r="Q127" s="2">
        <f t="shared" si="116"/>
        <v>55396.68</v>
      </c>
      <c r="R127" s="2">
        <f t="shared" si="116"/>
        <v>5575.93</v>
      </c>
      <c r="S127" s="2">
        <f t="shared" si="116"/>
        <v>1222913.03</v>
      </c>
      <c r="T127" s="2">
        <f t="shared" si="116"/>
        <v>0</v>
      </c>
      <c r="U127" s="2">
        <f>AH127</f>
        <v>2672.3685600000003</v>
      </c>
      <c r="V127" s="2">
        <f>AI127</f>
        <v>0</v>
      </c>
      <c r="W127" s="2">
        <f>ROUND(AJ127,2)</f>
        <v>0</v>
      </c>
      <c r="X127" s="2">
        <f>ROUND(AK127,2)</f>
        <v>856039.12</v>
      </c>
      <c r="Y127" s="2">
        <f>ROUND(AL127,2)</f>
        <v>122291.3</v>
      </c>
      <c r="Z127" s="2"/>
      <c r="AA127" s="2"/>
      <c r="AB127" s="2">
        <f>ROUND(SUMIF(AA117:AA125,"=80891843",O117:O125),2)</f>
        <v>1286519.03</v>
      </c>
      <c r="AC127" s="2">
        <f>ROUND(SUMIF(AA117:AA125,"=80891843",P117:P125),2)</f>
        <v>8209.32</v>
      </c>
      <c r="AD127" s="2">
        <f>ROUND(SUMIF(AA117:AA125,"=80891843",Q117:Q125),2)</f>
        <v>55396.68</v>
      </c>
      <c r="AE127" s="2">
        <f>ROUND(SUMIF(AA117:AA125,"=80891843",R117:R125),2)</f>
        <v>5575.93</v>
      </c>
      <c r="AF127" s="2">
        <f>ROUND(SUMIF(AA117:AA125,"=80891843",S117:S125),2)</f>
        <v>1222913.03</v>
      </c>
      <c r="AG127" s="2">
        <f>ROUND(SUMIF(AA117:AA125,"=80891843",T117:T125),2)</f>
        <v>0</v>
      </c>
      <c r="AH127" s="2">
        <f>SUMIF(AA117:AA125,"=80891843",U117:U125)</f>
        <v>2672.3685600000003</v>
      </c>
      <c r="AI127" s="2">
        <f>SUMIF(AA117:AA125,"=80891843",V117:V125)</f>
        <v>0</v>
      </c>
      <c r="AJ127" s="2">
        <f>ROUND(SUMIF(AA117:AA125,"=80891843",W117:W125),2)</f>
        <v>0</v>
      </c>
      <c r="AK127" s="2">
        <f>ROUND(SUMIF(AA117:AA125,"=80891843",X117:X125),2)</f>
        <v>856039.12</v>
      </c>
      <c r="AL127" s="2">
        <f>ROUND(SUMIF(AA117:AA125,"=80891843",Y117:Y125),2)</f>
        <v>122291.3</v>
      </c>
      <c r="AM127" s="2"/>
      <c r="AN127" s="2"/>
      <c r="AO127" s="2">
        <f t="shared" ref="AO127:BD127" si="117">ROUND(BX127,2)</f>
        <v>0</v>
      </c>
      <c r="AP127" s="2">
        <f t="shared" si="117"/>
        <v>0</v>
      </c>
      <c r="AQ127" s="2">
        <f t="shared" si="117"/>
        <v>0</v>
      </c>
      <c r="AR127" s="2">
        <f t="shared" si="117"/>
        <v>2270871.4500000002</v>
      </c>
      <c r="AS127" s="2">
        <f t="shared" si="117"/>
        <v>0</v>
      </c>
      <c r="AT127" s="2">
        <f t="shared" si="117"/>
        <v>0</v>
      </c>
      <c r="AU127" s="2">
        <f t="shared" si="117"/>
        <v>2270871.4500000002</v>
      </c>
      <c r="AV127" s="2">
        <f t="shared" si="117"/>
        <v>8209.32</v>
      </c>
      <c r="AW127" s="2">
        <f t="shared" si="117"/>
        <v>8209.32</v>
      </c>
      <c r="AX127" s="2">
        <f t="shared" si="117"/>
        <v>0</v>
      </c>
      <c r="AY127" s="2">
        <f t="shared" si="117"/>
        <v>8209.32</v>
      </c>
      <c r="AZ127" s="2">
        <f t="shared" si="117"/>
        <v>0</v>
      </c>
      <c r="BA127" s="2">
        <f t="shared" si="117"/>
        <v>0</v>
      </c>
      <c r="BB127" s="2">
        <f t="shared" si="117"/>
        <v>0</v>
      </c>
      <c r="BC127" s="2">
        <f t="shared" si="117"/>
        <v>0</v>
      </c>
      <c r="BD127" s="2">
        <f t="shared" si="117"/>
        <v>0</v>
      </c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>
        <f>ROUND(SUMIF(AA117:AA125,"=80891843",FQ117:FQ125),2)</f>
        <v>0</v>
      </c>
      <c r="BY127" s="2">
        <f>ROUND(SUMIF(AA117:AA125,"=80891843",FR117:FR125),2)</f>
        <v>0</v>
      </c>
      <c r="BZ127" s="2">
        <f>ROUND(SUMIF(AA117:AA125,"=80891843",GL117:GL125),2)</f>
        <v>0</v>
      </c>
      <c r="CA127" s="2">
        <f>ROUND(SUMIF(AA117:AA125,"=80891843",GM117:GM125),2)</f>
        <v>2270871.4500000002</v>
      </c>
      <c r="CB127" s="2">
        <f>ROUND(SUMIF(AA117:AA125,"=80891843",GN117:GN125),2)</f>
        <v>0</v>
      </c>
      <c r="CC127" s="2">
        <f>ROUND(SUMIF(AA117:AA125,"=80891843",GO117:GO125),2)</f>
        <v>0</v>
      </c>
      <c r="CD127" s="2">
        <f>ROUND(SUMIF(AA117:AA125,"=80891843",GP117:GP125),2)</f>
        <v>2270871.4500000002</v>
      </c>
      <c r="CE127" s="2">
        <f>AC127-BX127</f>
        <v>8209.32</v>
      </c>
      <c r="CF127" s="2">
        <f>AC127-BY127</f>
        <v>8209.32</v>
      </c>
      <c r="CG127" s="2">
        <f>BX127-BZ127</f>
        <v>0</v>
      </c>
      <c r="CH127" s="2">
        <f>AC127-BX127-BY127+BZ127</f>
        <v>8209.32</v>
      </c>
      <c r="CI127" s="2">
        <f>BY127-BZ127</f>
        <v>0</v>
      </c>
      <c r="CJ127" s="2">
        <f>ROUND(SUMIF(AA117:AA125,"=80891843",GX117:GX125),2)</f>
        <v>0</v>
      </c>
      <c r="CK127" s="2">
        <f>ROUND(SUMIF(AA117:AA125,"=80891843",GY117:GY125),2)</f>
        <v>0</v>
      </c>
      <c r="CL127" s="2">
        <f>ROUND(SUMIF(AA117:AA125,"=80891843",GZ117:GZ125),2)</f>
        <v>0</v>
      </c>
      <c r="CM127" s="2">
        <f>ROUND(SUMIF(AA117:AA125,"=80891843",HD117:HD125),2)</f>
        <v>0</v>
      </c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  <c r="EN127" s="3"/>
      <c r="EO127" s="3"/>
      <c r="EP127" s="3"/>
      <c r="EQ127" s="3"/>
      <c r="ER127" s="3"/>
      <c r="ES127" s="3"/>
      <c r="ET127" s="3"/>
      <c r="EU127" s="3"/>
      <c r="EV127" s="3"/>
      <c r="EW127" s="3"/>
      <c r="EX127" s="3"/>
      <c r="EY127" s="3"/>
      <c r="EZ127" s="3"/>
      <c r="FA127" s="3"/>
      <c r="FB127" s="3"/>
      <c r="FC127" s="3"/>
      <c r="FD127" s="3"/>
      <c r="FE127" s="3"/>
      <c r="FF127" s="3"/>
      <c r="FG127" s="3"/>
      <c r="FH127" s="3"/>
      <c r="FI127" s="3"/>
      <c r="FJ127" s="3"/>
      <c r="FK127" s="3"/>
      <c r="FL127" s="3"/>
      <c r="FM127" s="3"/>
      <c r="FN127" s="3"/>
      <c r="FO127" s="3"/>
      <c r="FP127" s="3"/>
      <c r="FQ127" s="3"/>
      <c r="FR127" s="3"/>
      <c r="FS127" s="3"/>
      <c r="FT127" s="3"/>
      <c r="FU127" s="3"/>
      <c r="FV127" s="3"/>
      <c r="FW127" s="3"/>
      <c r="FX127" s="3"/>
      <c r="FY127" s="3"/>
      <c r="FZ127" s="3"/>
      <c r="GA127" s="3"/>
      <c r="GB127" s="3"/>
      <c r="GC127" s="3"/>
      <c r="GD127" s="3"/>
      <c r="GE127" s="3"/>
      <c r="GF127" s="3"/>
      <c r="GG127" s="3"/>
      <c r="GH127" s="3"/>
      <c r="GI127" s="3"/>
      <c r="GJ127" s="3"/>
      <c r="GK127" s="3"/>
      <c r="GL127" s="3"/>
      <c r="GM127" s="3"/>
      <c r="GN127" s="3"/>
      <c r="GO127" s="3"/>
      <c r="GP127" s="3"/>
      <c r="GQ127" s="3"/>
      <c r="GR127" s="3"/>
      <c r="GS127" s="3"/>
      <c r="GT127" s="3"/>
      <c r="GU127" s="3"/>
      <c r="GV127" s="3"/>
      <c r="GW127" s="3"/>
      <c r="GX127" s="3">
        <v>0</v>
      </c>
    </row>
    <row r="129" spans="1:28" ht="13" x14ac:dyDescent="0.3">
      <c r="A129" s="4">
        <v>50</v>
      </c>
      <c r="B129" s="4">
        <v>0</v>
      </c>
      <c r="C129" s="4">
        <v>0</v>
      </c>
      <c r="D129" s="4">
        <v>1</v>
      </c>
      <c r="E129" s="4">
        <v>201</v>
      </c>
      <c r="F129" s="4">
        <f>ROUND(Source!O127,O129)</f>
        <v>1286519.03</v>
      </c>
      <c r="G129" s="4" t="s">
        <v>67</v>
      </c>
      <c r="H129" s="4" t="s">
        <v>68</v>
      </c>
      <c r="I129" s="4"/>
      <c r="J129" s="4"/>
      <c r="K129" s="4">
        <v>201</v>
      </c>
      <c r="L129" s="4">
        <v>1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1286519.03</v>
      </c>
      <c r="X129" s="4">
        <v>1</v>
      </c>
      <c r="Y129" s="4">
        <v>1286519.03</v>
      </c>
      <c r="Z129" s="4"/>
      <c r="AA129" s="4"/>
      <c r="AB129" s="4"/>
    </row>
    <row r="130" spans="1:28" ht="13" x14ac:dyDescent="0.3">
      <c r="A130" s="4">
        <v>50</v>
      </c>
      <c r="B130" s="4">
        <v>0</v>
      </c>
      <c r="C130" s="4">
        <v>0</v>
      </c>
      <c r="D130" s="4">
        <v>1</v>
      </c>
      <c r="E130" s="4">
        <v>202</v>
      </c>
      <c r="F130" s="4">
        <f>ROUND(Source!P127,O130)</f>
        <v>8209.32</v>
      </c>
      <c r="G130" s="4" t="s">
        <v>69</v>
      </c>
      <c r="H130" s="4" t="s">
        <v>70</v>
      </c>
      <c r="I130" s="4"/>
      <c r="J130" s="4"/>
      <c r="K130" s="4">
        <v>202</v>
      </c>
      <c r="L130" s="4">
        <v>2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8209.32</v>
      </c>
      <c r="X130" s="4">
        <v>1</v>
      </c>
      <c r="Y130" s="4">
        <v>8209.32</v>
      </c>
      <c r="Z130" s="4"/>
      <c r="AA130" s="4"/>
      <c r="AB130" s="4"/>
    </row>
    <row r="131" spans="1:28" ht="13" x14ac:dyDescent="0.3">
      <c r="A131" s="4">
        <v>50</v>
      </c>
      <c r="B131" s="4">
        <v>0</v>
      </c>
      <c r="C131" s="4">
        <v>0</v>
      </c>
      <c r="D131" s="4">
        <v>1</v>
      </c>
      <c r="E131" s="4">
        <v>222</v>
      </c>
      <c r="F131" s="4">
        <f>ROUND(Source!AO127,O131)</f>
        <v>0</v>
      </c>
      <c r="G131" s="4" t="s">
        <v>71</v>
      </c>
      <c r="H131" s="4" t="s">
        <v>72</v>
      </c>
      <c r="I131" s="4"/>
      <c r="J131" s="4"/>
      <c r="K131" s="4">
        <v>222</v>
      </c>
      <c r="L131" s="4">
        <v>3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8" ht="13" x14ac:dyDescent="0.3">
      <c r="A132" s="4">
        <v>50</v>
      </c>
      <c r="B132" s="4">
        <v>0</v>
      </c>
      <c r="C132" s="4">
        <v>0</v>
      </c>
      <c r="D132" s="4">
        <v>1</v>
      </c>
      <c r="E132" s="4">
        <v>225</v>
      </c>
      <c r="F132" s="4">
        <f>ROUND(Source!AV127,O132)</f>
        <v>8209.32</v>
      </c>
      <c r="G132" s="4" t="s">
        <v>73</v>
      </c>
      <c r="H132" s="4" t="s">
        <v>74</v>
      </c>
      <c r="I132" s="4"/>
      <c r="J132" s="4"/>
      <c r="K132" s="4">
        <v>225</v>
      </c>
      <c r="L132" s="4">
        <v>4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8209.32</v>
      </c>
      <c r="X132" s="4">
        <v>1</v>
      </c>
      <c r="Y132" s="4">
        <v>8209.32</v>
      </c>
      <c r="Z132" s="4"/>
      <c r="AA132" s="4"/>
      <c r="AB132" s="4"/>
    </row>
    <row r="133" spans="1:28" ht="13" x14ac:dyDescent="0.3">
      <c r="A133" s="4">
        <v>50</v>
      </c>
      <c r="B133" s="4">
        <v>0</v>
      </c>
      <c r="C133" s="4">
        <v>0</v>
      </c>
      <c r="D133" s="4">
        <v>1</v>
      </c>
      <c r="E133" s="4">
        <v>226</v>
      </c>
      <c r="F133" s="4">
        <f>ROUND(Source!AW127,O133)</f>
        <v>8209.32</v>
      </c>
      <c r="G133" s="4" t="s">
        <v>75</v>
      </c>
      <c r="H133" s="4" t="s">
        <v>76</v>
      </c>
      <c r="I133" s="4"/>
      <c r="J133" s="4"/>
      <c r="K133" s="4">
        <v>226</v>
      </c>
      <c r="L133" s="4">
        <v>5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8209.32</v>
      </c>
      <c r="X133" s="4">
        <v>1</v>
      </c>
      <c r="Y133" s="4">
        <v>8209.32</v>
      </c>
      <c r="Z133" s="4"/>
      <c r="AA133" s="4"/>
      <c r="AB133" s="4"/>
    </row>
    <row r="134" spans="1:28" ht="13" x14ac:dyDescent="0.3">
      <c r="A134" s="4">
        <v>50</v>
      </c>
      <c r="B134" s="4">
        <v>0</v>
      </c>
      <c r="C134" s="4">
        <v>0</v>
      </c>
      <c r="D134" s="4">
        <v>1</v>
      </c>
      <c r="E134" s="4">
        <v>227</v>
      </c>
      <c r="F134" s="4">
        <f>ROUND(Source!AX127,O134)</f>
        <v>0</v>
      </c>
      <c r="G134" s="4" t="s">
        <v>77</v>
      </c>
      <c r="H134" s="4" t="s">
        <v>78</v>
      </c>
      <c r="I134" s="4"/>
      <c r="J134" s="4"/>
      <c r="K134" s="4">
        <v>227</v>
      </c>
      <c r="L134" s="4">
        <v>6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8" ht="13" x14ac:dyDescent="0.3">
      <c r="A135" s="4">
        <v>50</v>
      </c>
      <c r="B135" s="4">
        <v>0</v>
      </c>
      <c r="C135" s="4">
        <v>0</v>
      </c>
      <c r="D135" s="4">
        <v>1</v>
      </c>
      <c r="E135" s="4">
        <v>228</v>
      </c>
      <c r="F135" s="4">
        <f>ROUND(Source!AY127,O135)</f>
        <v>8209.32</v>
      </c>
      <c r="G135" s="4" t="s">
        <v>79</v>
      </c>
      <c r="H135" s="4" t="s">
        <v>80</v>
      </c>
      <c r="I135" s="4"/>
      <c r="J135" s="4"/>
      <c r="K135" s="4">
        <v>228</v>
      </c>
      <c r="L135" s="4">
        <v>7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8209.32</v>
      </c>
      <c r="X135" s="4">
        <v>1</v>
      </c>
      <c r="Y135" s="4">
        <v>8209.32</v>
      </c>
      <c r="Z135" s="4"/>
      <c r="AA135" s="4"/>
      <c r="AB135" s="4"/>
    </row>
    <row r="136" spans="1:28" ht="13" x14ac:dyDescent="0.3">
      <c r="A136" s="4">
        <v>50</v>
      </c>
      <c r="B136" s="4">
        <v>0</v>
      </c>
      <c r="C136" s="4">
        <v>0</v>
      </c>
      <c r="D136" s="4">
        <v>1</v>
      </c>
      <c r="E136" s="4">
        <v>216</v>
      </c>
      <c r="F136" s="4">
        <f>ROUND(Source!AP127,O136)</f>
        <v>0</v>
      </c>
      <c r="G136" s="4" t="s">
        <v>81</v>
      </c>
      <c r="H136" s="4" t="s">
        <v>82</v>
      </c>
      <c r="I136" s="4"/>
      <c r="J136" s="4"/>
      <c r="K136" s="4">
        <v>216</v>
      </c>
      <c r="L136" s="4">
        <v>8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0</v>
      </c>
      <c r="X136" s="4">
        <v>1</v>
      </c>
      <c r="Y136" s="4">
        <v>0</v>
      </c>
      <c r="Z136" s="4"/>
      <c r="AA136" s="4"/>
      <c r="AB136" s="4"/>
    </row>
    <row r="137" spans="1:28" ht="13" x14ac:dyDescent="0.3">
      <c r="A137" s="4">
        <v>50</v>
      </c>
      <c r="B137" s="4">
        <v>0</v>
      </c>
      <c r="C137" s="4">
        <v>0</v>
      </c>
      <c r="D137" s="4">
        <v>1</v>
      </c>
      <c r="E137" s="4">
        <v>223</v>
      </c>
      <c r="F137" s="4">
        <f>ROUND(Source!AQ127,O137)</f>
        <v>0</v>
      </c>
      <c r="G137" s="4" t="s">
        <v>83</v>
      </c>
      <c r="H137" s="4" t="s">
        <v>84</v>
      </c>
      <c r="I137" s="4"/>
      <c r="J137" s="4"/>
      <c r="K137" s="4">
        <v>223</v>
      </c>
      <c r="L137" s="4">
        <v>9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0</v>
      </c>
      <c r="X137" s="4">
        <v>1</v>
      </c>
      <c r="Y137" s="4">
        <v>0</v>
      </c>
      <c r="Z137" s="4"/>
      <c r="AA137" s="4"/>
      <c r="AB137" s="4"/>
    </row>
    <row r="138" spans="1:28" ht="13" x14ac:dyDescent="0.3">
      <c r="A138" s="4">
        <v>50</v>
      </c>
      <c r="B138" s="4">
        <v>0</v>
      </c>
      <c r="C138" s="4">
        <v>0</v>
      </c>
      <c r="D138" s="4">
        <v>1</v>
      </c>
      <c r="E138" s="4">
        <v>229</v>
      </c>
      <c r="F138" s="4">
        <f>ROUND(Source!AZ127,O138)</f>
        <v>0</v>
      </c>
      <c r="G138" s="4" t="s">
        <v>85</v>
      </c>
      <c r="H138" s="4" t="s">
        <v>86</v>
      </c>
      <c r="I138" s="4"/>
      <c r="J138" s="4"/>
      <c r="K138" s="4">
        <v>229</v>
      </c>
      <c r="L138" s="4">
        <v>10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0</v>
      </c>
      <c r="X138" s="4">
        <v>1</v>
      </c>
      <c r="Y138" s="4">
        <v>0</v>
      </c>
      <c r="Z138" s="4"/>
      <c r="AA138" s="4"/>
      <c r="AB138" s="4"/>
    </row>
    <row r="139" spans="1:28" ht="13" x14ac:dyDescent="0.3">
      <c r="A139" s="4">
        <v>50</v>
      </c>
      <c r="B139" s="4">
        <v>0</v>
      </c>
      <c r="C139" s="4">
        <v>0</v>
      </c>
      <c r="D139" s="4">
        <v>1</v>
      </c>
      <c r="E139" s="4">
        <v>203</v>
      </c>
      <c r="F139" s="4">
        <f>ROUND(Source!Q127,O139)</f>
        <v>55396.68</v>
      </c>
      <c r="G139" s="4" t="s">
        <v>87</v>
      </c>
      <c r="H139" s="4" t="s">
        <v>88</v>
      </c>
      <c r="I139" s="4"/>
      <c r="J139" s="4"/>
      <c r="K139" s="4">
        <v>203</v>
      </c>
      <c r="L139" s="4">
        <v>11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55396.68</v>
      </c>
      <c r="X139" s="4">
        <v>1</v>
      </c>
      <c r="Y139" s="4">
        <v>55396.68</v>
      </c>
      <c r="Z139" s="4"/>
      <c r="AA139" s="4"/>
      <c r="AB139" s="4"/>
    </row>
    <row r="140" spans="1:28" ht="13" x14ac:dyDescent="0.3">
      <c r="A140" s="4">
        <v>50</v>
      </c>
      <c r="B140" s="4">
        <v>0</v>
      </c>
      <c r="C140" s="4">
        <v>0</v>
      </c>
      <c r="D140" s="4">
        <v>1</v>
      </c>
      <c r="E140" s="4">
        <v>231</v>
      </c>
      <c r="F140" s="4">
        <f>ROUND(Source!BB127,O140)</f>
        <v>0</v>
      </c>
      <c r="G140" s="4" t="s">
        <v>89</v>
      </c>
      <c r="H140" s="4" t="s">
        <v>90</v>
      </c>
      <c r="I140" s="4"/>
      <c r="J140" s="4"/>
      <c r="K140" s="4">
        <v>231</v>
      </c>
      <c r="L140" s="4">
        <v>12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0</v>
      </c>
      <c r="X140" s="4">
        <v>1</v>
      </c>
      <c r="Y140" s="4">
        <v>0</v>
      </c>
      <c r="Z140" s="4"/>
      <c r="AA140" s="4"/>
      <c r="AB140" s="4"/>
    </row>
    <row r="141" spans="1:28" ht="13" x14ac:dyDescent="0.3">
      <c r="A141" s="4">
        <v>50</v>
      </c>
      <c r="B141" s="4">
        <v>0</v>
      </c>
      <c r="C141" s="4">
        <v>0</v>
      </c>
      <c r="D141" s="4">
        <v>1</v>
      </c>
      <c r="E141" s="4">
        <v>204</v>
      </c>
      <c r="F141" s="4">
        <f>ROUND(Source!R127,O141)</f>
        <v>5575.93</v>
      </c>
      <c r="G141" s="4" t="s">
        <v>91</v>
      </c>
      <c r="H141" s="4" t="s">
        <v>92</v>
      </c>
      <c r="I141" s="4"/>
      <c r="J141" s="4"/>
      <c r="K141" s="4">
        <v>204</v>
      </c>
      <c r="L141" s="4">
        <v>13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5575.93</v>
      </c>
      <c r="X141" s="4">
        <v>1</v>
      </c>
      <c r="Y141" s="4">
        <v>5575.93</v>
      </c>
      <c r="Z141" s="4"/>
      <c r="AA141" s="4"/>
      <c r="AB141" s="4"/>
    </row>
    <row r="142" spans="1:28" ht="13" x14ac:dyDescent="0.3">
      <c r="A142" s="4">
        <v>50</v>
      </c>
      <c r="B142" s="4">
        <v>0</v>
      </c>
      <c r="C142" s="4">
        <v>0</v>
      </c>
      <c r="D142" s="4">
        <v>1</v>
      </c>
      <c r="E142" s="4">
        <v>205</v>
      </c>
      <c r="F142" s="4">
        <f>ROUND(Source!S127,O142)</f>
        <v>1222913.03</v>
      </c>
      <c r="G142" s="4" t="s">
        <v>93</v>
      </c>
      <c r="H142" s="4" t="s">
        <v>94</v>
      </c>
      <c r="I142" s="4"/>
      <c r="J142" s="4"/>
      <c r="K142" s="4">
        <v>205</v>
      </c>
      <c r="L142" s="4">
        <v>14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1222913.03</v>
      </c>
      <c r="X142" s="4">
        <v>1</v>
      </c>
      <c r="Y142" s="4">
        <v>1222913.03</v>
      </c>
      <c r="Z142" s="4"/>
      <c r="AA142" s="4"/>
      <c r="AB142" s="4"/>
    </row>
    <row r="143" spans="1:28" ht="13" x14ac:dyDescent="0.3">
      <c r="A143" s="4">
        <v>50</v>
      </c>
      <c r="B143" s="4">
        <v>0</v>
      </c>
      <c r="C143" s="4">
        <v>0</v>
      </c>
      <c r="D143" s="4">
        <v>1</v>
      </c>
      <c r="E143" s="4">
        <v>232</v>
      </c>
      <c r="F143" s="4">
        <f>ROUND(Source!BC127,O143)</f>
        <v>0</v>
      </c>
      <c r="G143" s="4" t="s">
        <v>95</v>
      </c>
      <c r="H143" s="4" t="s">
        <v>96</v>
      </c>
      <c r="I143" s="4"/>
      <c r="J143" s="4"/>
      <c r="K143" s="4">
        <v>232</v>
      </c>
      <c r="L143" s="4">
        <v>15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0</v>
      </c>
      <c r="X143" s="4">
        <v>1</v>
      </c>
      <c r="Y143" s="4">
        <v>0</v>
      </c>
      <c r="Z143" s="4"/>
      <c r="AA143" s="4"/>
      <c r="AB143" s="4"/>
    </row>
    <row r="144" spans="1:28" ht="13" x14ac:dyDescent="0.3">
      <c r="A144" s="4">
        <v>50</v>
      </c>
      <c r="B144" s="4">
        <v>0</v>
      </c>
      <c r="C144" s="4">
        <v>0</v>
      </c>
      <c r="D144" s="4">
        <v>1</v>
      </c>
      <c r="E144" s="4">
        <v>214</v>
      </c>
      <c r="F144" s="4">
        <f>ROUND(Source!AS127,O144)</f>
        <v>0</v>
      </c>
      <c r="G144" s="4" t="s">
        <v>97</v>
      </c>
      <c r="H144" s="4" t="s">
        <v>98</v>
      </c>
      <c r="I144" s="4"/>
      <c r="J144" s="4"/>
      <c r="K144" s="4">
        <v>214</v>
      </c>
      <c r="L144" s="4">
        <v>16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206" ht="13" x14ac:dyDescent="0.3">
      <c r="A145" s="4">
        <v>50</v>
      </c>
      <c r="B145" s="4">
        <v>0</v>
      </c>
      <c r="C145" s="4">
        <v>0</v>
      </c>
      <c r="D145" s="4">
        <v>1</v>
      </c>
      <c r="E145" s="4">
        <v>215</v>
      </c>
      <c r="F145" s="4">
        <f>ROUND(Source!AT127,O145)</f>
        <v>0</v>
      </c>
      <c r="G145" s="4" t="s">
        <v>99</v>
      </c>
      <c r="H145" s="4" t="s">
        <v>100</v>
      </c>
      <c r="I145" s="4"/>
      <c r="J145" s="4"/>
      <c r="K145" s="4">
        <v>215</v>
      </c>
      <c r="L145" s="4">
        <v>17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06" ht="13" x14ac:dyDescent="0.3">
      <c r="A146" s="4">
        <v>50</v>
      </c>
      <c r="B146" s="4">
        <v>0</v>
      </c>
      <c r="C146" s="4">
        <v>0</v>
      </c>
      <c r="D146" s="4">
        <v>1</v>
      </c>
      <c r="E146" s="4">
        <v>217</v>
      </c>
      <c r="F146" s="4">
        <f>ROUND(Source!AU127,O146)</f>
        <v>2270871.4500000002</v>
      </c>
      <c r="G146" s="4" t="s">
        <v>101</v>
      </c>
      <c r="H146" s="4" t="s">
        <v>102</v>
      </c>
      <c r="I146" s="4"/>
      <c r="J146" s="4"/>
      <c r="K146" s="4">
        <v>217</v>
      </c>
      <c r="L146" s="4">
        <v>18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2270871.4500000002</v>
      </c>
      <c r="X146" s="4">
        <v>1</v>
      </c>
      <c r="Y146" s="4">
        <v>2270871.4500000002</v>
      </c>
      <c r="Z146" s="4"/>
      <c r="AA146" s="4"/>
      <c r="AB146" s="4"/>
    </row>
    <row r="147" spans="1:206" ht="13" x14ac:dyDescent="0.3">
      <c r="A147" s="4">
        <v>50</v>
      </c>
      <c r="B147" s="4">
        <v>0</v>
      </c>
      <c r="C147" s="4">
        <v>0</v>
      </c>
      <c r="D147" s="4">
        <v>1</v>
      </c>
      <c r="E147" s="4">
        <v>230</v>
      </c>
      <c r="F147" s="4">
        <f>ROUND(Source!BA127,O147)</f>
        <v>0</v>
      </c>
      <c r="G147" s="4" t="s">
        <v>103</v>
      </c>
      <c r="H147" s="4" t="s">
        <v>104</v>
      </c>
      <c r="I147" s="4"/>
      <c r="J147" s="4"/>
      <c r="K147" s="4">
        <v>230</v>
      </c>
      <c r="L147" s="4">
        <v>19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0</v>
      </c>
      <c r="X147" s="4">
        <v>1</v>
      </c>
      <c r="Y147" s="4">
        <v>0</v>
      </c>
      <c r="Z147" s="4"/>
      <c r="AA147" s="4"/>
      <c r="AB147" s="4"/>
    </row>
    <row r="148" spans="1:206" ht="13" x14ac:dyDescent="0.3">
      <c r="A148" s="4">
        <v>50</v>
      </c>
      <c r="B148" s="4">
        <v>0</v>
      </c>
      <c r="C148" s="4">
        <v>0</v>
      </c>
      <c r="D148" s="4">
        <v>1</v>
      </c>
      <c r="E148" s="4">
        <v>206</v>
      </c>
      <c r="F148" s="4">
        <f>ROUND(Source!T127,O148)</f>
        <v>0</v>
      </c>
      <c r="G148" s="4" t="s">
        <v>105</v>
      </c>
      <c r="H148" s="4" t="s">
        <v>106</v>
      </c>
      <c r="I148" s="4"/>
      <c r="J148" s="4"/>
      <c r="K148" s="4">
        <v>206</v>
      </c>
      <c r="L148" s="4">
        <v>20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06" ht="13" x14ac:dyDescent="0.3">
      <c r="A149" s="4">
        <v>50</v>
      </c>
      <c r="B149" s="4">
        <v>0</v>
      </c>
      <c r="C149" s="4">
        <v>0</v>
      </c>
      <c r="D149" s="4">
        <v>1</v>
      </c>
      <c r="E149" s="4">
        <v>207</v>
      </c>
      <c r="F149" s="4">
        <f>Source!U127</f>
        <v>2672.3685600000003</v>
      </c>
      <c r="G149" s="4" t="s">
        <v>107</v>
      </c>
      <c r="H149" s="4" t="s">
        <v>108</v>
      </c>
      <c r="I149" s="4"/>
      <c r="J149" s="4"/>
      <c r="K149" s="4">
        <v>207</v>
      </c>
      <c r="L149" s="4">
        <v>21</v>
      </c>
      <c r="M149" s="4">
        <v>3</v>
      </c>
      <c r="N149" s="4" t="s">
        <v>3</v>
      </c>
      <c r="O149" s="4">
        <v>-1</v>
      </c>
      <c r="P149" s="4"/>
      <c r="Q149" s="4"/>
      <c r="R149" s="4"/>
      <c r="S149" s="4"/>
      <c r="T149" s="4"/>
      <c r="U149" s="4"/>
      <c r="V149" s="4"/>
      <c r="W149" s="4">
        <v>2672.3685600000003</v>
      </c>
      <c r="X149" s="4">
        <v>1</v>
      </c>
      <c r="Y149" s="4">
        <v>2672.3685600000003</v>
      </c>
      <c r="Z149" s="4"/>
      <c r="AA149" s="4"/>
      <c r="AB149" s="4"/>
    </row>
    <row r="150" spans="1:206" ht="13" x14ac:dyDescent="0.3">
      <c r="A150" s="4">
        <v>50</v>
      </c>
      <c r="B150" s="4">
        <v>0</v>
      </c>
      <c r="C150" s="4">
        <v>0</v>
      </c>
      <c r="D150" s="4">
        <v>1</v>
      </c>
      <c r="E150" s="4">
        <v>208</v>
      </c>
      <c r="F150" s="4">
        <f>Source!V127</f>
        <v>0</v>
      </c>
      <c r="G150" s="4" t="s">
        <v>109</v>
      </c>
      <c r="H150" s="4" t="s">
        <v>110</v>
      </c>
      <c r="I150" s="4"/>
      <c r="J150" s="4"/>
      <c r="K150" s="4">
        <v>208</v>
      </c>
      <c r="L150" s="4">
        <v>22</v>
      </c>
      <c r="M150" s="4">
        <v>3</v>
      </c>
      <c r="N150" s="4" t="s">
        <v>3</v>
      </c>
      <c r="O150" s="4">
        <v>-1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06" ht="13" x14ac:dyDescent="0.3">
      <c r="A151" s="4">
        <v>50</v>
      </c>
      <c r="B151" s="4">
        <v>0</v>
      </c>
      <c r="C151" s="4">
        <v>0</v>
      </c>
      <c r="D151" s="4">
        <v>1</v>
      </c>
      <c r="E151" s="4">
        <v>209</v>
      </c>
      <c r="F151" s="4">
        <f>ROUND(Source!W127,O151)</f>
        <v>0</v>
      </c>
      <c r="G151" s="4" t="s">
        <v>111</v>
      </c>
      <c r="H151" s="4" t="s">
        <v>112</v>
      </c>
      <c r="I151" s="4"/>
      <c r="J151" s="4"/>
      <c r="K151" s="4">
        <v>209</v>
      </c>
      <c r="L151" s="4">
        <v>23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0</v>
      </c>
      <c r="X151" s="4">
        <v>1</v>
      </c>
      <c r="Y151" s="4">
        <v>0</v>
      </c>
      <c r="Z151" s="4"/>
      <c r="AA151" s="4"/>
      <c r="AB151" s="4"/>
    </row>
    <row r="152" spans="1:206" ht="13" x14ac:dyDescent="0.3">
      <c r="A152" s="4">
        <v>50</v>
      </c>
      <c r="B152" s="4">
        <v>0</v>
      </c>
      <c r="C152" s="4">
        <v>0</v>
      </c>
      <c r="D152" s="4">
        <v>1</v>
      </c>
      <c r="E152" s="4">
        <v>233</v>
      </c>
      <c r="F152" s="4">
        <f>ROUND(Source!BD127,O152)</f>
        <v>0</v>
      </c>
      <c r="G152" s="4" t="s">
        <v>113</v>
      </c>
      <c r="H152" s="4" t="s">
        <v>114</v>
      </c>
      <c r="I152" s="4"/>
      <c r="J152" s="4"/>
      <c r="K152" s="4">
        <v>233</v>
      </c>
      <c r="L152" s="4">
        <v>24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06" ht="13" x14ac:dyDescent="0.3">
      <c r="A153" s="4">
        <v>50</v>
      </c>
      <c r="B153" s="4">
        <v>0</v>
      </c>
      <c r="C153" s="4">
        <v>0</v>
      </c>
      <c r="D153" s="4">
        <v>1</v>
      </c>
      <c r="E153" s="4">
        <v>210</v>
      </c>
      <c r="F153" s="4">
        <f>ROUND(Source!X127,O153)</f>
        <v>856039.12</v>
      </c>
      <c r="G153" s="4" t="s">
        <v>115</v>
      </c>
      <c r="H153" s="4" t="s">
        <v>116</v>
      </c>
      <c r="I153" s="4"/>
      <c r="J153" s="4"/>
      <c r="K153" s="4">
        <v>210</v>
      </c>
      <c r="L153" s="4">
        <v>25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856039.12</v>
      </c>
      <c r="X153" s="4">
        <v>1</v>
      </c>
      <c r="Y153" s="4">
        <v>856039.12</v>
      </c>
      <c r="Z153" s="4"/>
      <c r="AA153" s="4"/>
      <c r="AB153" s="4"/>
    </row>
    <row r="154" spans="1:206" ht="13" x14ac:dyDescent="0.3">
      <c r="A154" s="4">
        <v>50</v>
      </c>
      <c r="B154" s="4">
        <v>0</v>
      </c>
      <c r="C154" s="4">
        <v>0</v>
      </c>
      <c r="D154" s="4">
        <v>1</v>
      </c>
      <c r="E154" s="4">
        <v>211</v>
      </c>
      <c r="F154" s="4">
        <f>ROUND(Source!Y127,O154)</f>
        <v>122291.3</v>
      </c>
      <c r="G154" s="4" t="s">
        <v>117</v>
      </c>
      <c r="H154" s="4" t="s">
        <v>118</v>
      </c>
      <c r="I154" s="4"/>
      <c r="J154" s="4"/>
      <c r="K154" s="4">
        <v>211</v>
      </c>
      <c r="L154" s="4">
        <v>26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122291.3</v>
      </c>
      <c r="X154" s="4">
        <v>1</v>
      </c>
      <c r="Y154" s="4">
        <v>122291.3</v>
      </c>
      <c r="Z154" s="4"/>
      <c r="AA154" s="4"/>
      <c r="AB154" s="4"/>
    </row>
    <row r="155" spans="1:206" ht="13" x14ac:dyDescent="0.3">
      <c r="A155" s="4">
        <v>50</v>
      </c>
      <c r="B155" s="4">
        <v>0</v>
      </c>
      <c r="C155" s="4">
        <v>0</v>
      </c>
      <c r="D155" s="4">
        <v>1</v>
      </c>
      <c r="E155" s="4">
        <v>224</v>
      </c>
      <c r="F155" s="4">
        <f>ROUND(Source!AR127,O155)</f>
        <v>2270871.4500000002</v>
      </c>
      <c r="G155" s="4" t="s">
        <v>119</v>
      </c>
      <c r="H155" s="4" t="s">
        <v>120</v>
      </c>
      <c r="I155" s="4"/>
      <c r="J155" s="4"/>
      <c r="K155" s="4">
        <v>224</v>
      </c>
      <c r="L155" s="4">
        <v>27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2270871.4500000002</v>
      </c>
      <c r="X155" s="4">
        <v>1</v>
      </c>
      <c r="Y155" s="4">
        <v>2270871.4500000002</v>
      </c>
      <c r="Z155" s="4"/>
      <c r="AA155" s="4"/>
      <c r="AB155" s="4"/>
    </row>
    <row r="157" spans="1:206" ht="13" x14ac:dyDescent="0.3">
      <c r="A157" s="2">
        <v>51</v>
      </c>
      <c r="B157" s="2">
        <f>B24</f>
        <v>1</v>
      </c>
      <c r="C157" s="2">
        <f>A24</f>
        <v>4</v>
      </c>
      <c r="D157" s="2">
        <f>ROW(A24)</f>
        <v>24</v>
      </c>
      <c r="E157" s="2"/>
      <c r="F157" s="2" t="str">
        <f>IF(F24&lt;&gt;"",F24,"")</f>
        <v>Новый раздел</v>
      </c>
      <c r="G157" s="2" t="str">
        <f>IF(G24&lt;&gt;"",G24,"")</f>
        <v>Раздел: Основная зона</v>
      </c>
      <c r="H157" s="2">
        <v>0</v>
      </c>
      <c r="I157" s="2"/>
      <c r="J157" s="2"/>
      <c r="K157" s="2"/>
      <c r="L157" s="2"/>
      <c r="M157" s="2"/>
      <c r="N157" s="2"/>
      <c r="O157" s="2">
        <f t="shared" ref="O157:T157" si="118">ROUND(O43+O83+O127+AB157,2)</f>
        <v>13085247.08</v>
      </c>
      <c r="P157" s="2">
        <f t="shared" si="118"/>
        <v>1135958.33</v>
      </c>
      <c r="Q157" s="2">
        <f t="shared" si="118"/>
        <v>8260958.8700000001</v>
      </c>
      <c r="R157" s="2">
        <f t="shared" si="118"/>
        <v>3819874.61</v>
      </c>
      <c r="S157" s="2">
        <f t="shared" si="118"/>
        <v>3688329.88</v>
      </c>
      <c r="T157" s="2">
        <f t="shared" si="118"/>
        <v>0</v>
      </c>
      <c r="U157" s="2">
        <f>U43+U83+U127+AH157</f>
        <v>8113.1335250000011</v>
      </c>
      <c r="V157" s="2">
        <f>V43+V83+V127+AI157</f>
        <v>0</v>
      </c>
      <c r="W157" s="2">
        <f>ROUND(W43+W83+W127+AJ157,2)</f>
        <v>0</v>
      </c>
      <c r="X157" s="2">
        <f>ROUND(X43+X83+X127+AK157,2)</f>
        <v>2581830.92</v>
      </c>
      <c r="Y157" s="2">
        <f>ROUND(Y43+Y83+Y127+AL157,2)</f>
        <v>368832.99</v>
      </c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>
        <f t="shared" ref="AO157:BD157" si="119">ROUND(AO43+AO83+AO127+BX157,2)</f>
        <v>0</v>
      </c>
      <c r="AP157" s="2">
        <f t="shared" si="119"/>
        <v>0</v>
      </c>
      <c r="AQ157" s="2">
        <f t="shared" si="119"/>
        <v>0</v>
      </c>
      <c r="AR157" s="2">
        <f t="shared" si="119"/>
        <v>20161375.559999999</v>
      </c>
      <c r="AS157" s="2">
        <f t="shared" si="119"/>
        <v>0</v>
      </c>
      <c r="AT157" s="2">
        <f t="shared" si="119"/>
        <v>0</v>
      </c>
      <c r="AU157" s="2">
        <f t="shared" si="119"/>
        <v>20161375.559999999</v>
      </c>
      <c r="AV157" s="2">
        <f t="shared" si="119"/>
        <v>1135958.33</v>
      </c>
      <c r="AW157" s="2">
        <f t="shared" si="119"/>
        <v>1135958.33</v>
      </c>
      <c r="AX157" s="2">
        <f t="shared" si="119"/>
        <v>0</v>
      </c>
      <c r="AY157" s="2">
        <f t="shared" si="119"/>
        <v>1135958.33</v>
      </c>
      <c r="AZ157" s="2">
        <f t="shared" si="119"/>
        <v>0</v>
      </c>
      <c r="BA157" s="2">
        <f t="shared" si="119"/>
        <v>0</v>
      </c>
      <c r="BB157" s="2">
        <f t="shared" si="119"/>
        <v>0</v>
      </c>
      <c r="BC157" s="2">
        <f t="shared" si="119"/>
        <v>0</v>
      </c>
      <c r="BD157" s="2">
        <f t="shared" si="119"/>
        <v>0</v>
      </c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  <c r="EN157" s="3"/>
      <c r="EO157" s="3"/>
      <c r="EP157" s="3"/>
      <c r="EQ157" s="3"/>
      <c r="ER157" s="3"/>
      <c r="ES157" s="3"/>
      <c r="ET157" s="3"/>
      <c r="EU157" s="3"/>
      <c r="EV157" s="3"/>
      <c r="EW157" s="3"/>
      <c r="EX157" s="3"/>
      <c r="EY157" s="3"/>
      <c r="EZ157" s="3"/>
      <c r="FA157" s="3"/>
      <c r="FB157" s="3"/>
      <c r="FC157" s="3"/>
      <c r="FD157" s="3"/>
      <c r="FE157" s="3"/>
      <c r="FF157" s="3"/>
      <c r="FG157" s="3"/>
      <c r="FH157" s="3"/>
      <c r="FI157" s="3"/>
      <c r="FJ157" s="3"/>
      <c r="FK157" s="3"/>
      <c r="FL157" s="3"/>
      <c r="FM157" s="3"/>
      <c r="FN157" s="3"/>
      <c r="FO157" s="3"/>
      <c r="FP157" s="3"/>
      <c r="FQ157" s="3"/>
      <c r="FR157" s="3"/>
      <c r="FS157" s="3"/>
      <c r="FT157" s="3"/>
      <c r="FU157" s="3"/>
      <c r="FV157" s="3"/>
      <c r="FW157" s="3"/>
      <c r="FX157" s="3"/>
      <c r="FY157" s="3"/>
      <c r="FZ157" s="3"/>
      <c r="GA157" s="3"/>
      <c r="GB157" s="3"/>
      <c r="GC157" s="3"/>
      <c r="GD157" s="3"/>
      <c r="GE157" s="3"/>
      <c r="GF157" s="3"/>
      <c r="GG157" s="3"/>
      <c r="GH157" s="3"/>
      <c r="GI157" s="3"/>
      <c r="GJ157" s="3"/>
      <c r="GK157" s="3"/>
      <c r="GL157" s="3"/>
      <c r="GM157" s="3"/>
      <c r="GN157" s="3"/>
      <c r="GO157" s="3"/>
      <c r="GP157" s="3"/>
      <c r="GQ157" s="3"/>
      <c r="GR157" s="3"/>
      <c r="GS157" s="3"/>
      <c r="GT157" s="3"/>
      <c r="GU157" s="3"/>
      <c r="GV157" s="3"/>
      <c r="GW157" s="3"/>
      <c r="GX157" s="3">
        <v>0</v>
      </c>
    </row>
    <row r="159" spans="1:206" ht="13" x14ac:dyDescent="0.3">
      <c r="A159" s="4">
        <v>50</v>
      </c>
      <c r="B159" s="4">
        <v>0</v>
      </c>
      <c r="C159" s="4">
        <v>0</v>
      </c>
      <c r="D159" s="4">
        <v>1</v>
      </c>
      <c r="E159" s="4">
        <v>201</v>
      </c>
      <c r="F159" s="4">
        <f>ROUND(Source!O157,O159)</f>
        <v>13085247.08</v>
      </c>
      <c r="G159" s="4" t="s">
        <v>67</v>
      </c>
      <c r="H159" s="4" t="s">
        <v>68</v>
      </c>
      <c r="I159" s="4"/>
      <c r="J159" s="4"/>
      <c r="K159" s="4">
        <v>201</v>
      </c>
      <c r="L159" s="4">
        <v>1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13085247.08</v>
      </c>
      <c r="X159" s="4">
        <v>1</v>
      </c>
      <c r="Y159" s="4">
        <v>13085247.08</v>
      </c>
      <c r="Z159" s="4"/>
      <c r="AA159" s="4"/>
      <c r="AB159" s="4"/>
    </row>
    <row r="160" spans="1:206" ht="13" x14ac:dyDescent="0.3">
      <c r="A160" s="4">
        <v>50</v>
      </c>
      <c r="B160" s="4">
        <v>0</v>
      </c>
      <c r="C160" s="4">
        <v>0</v>
      </c>
      <c r="D160" s="4">
        <v>1</v>
      </c>
      <c r="E160" s="4">
        <v>202</v>
      </c>
      <c r="F160" s="4">
        <f>ROUND(Source!P157,O160)</f>
        <v>1135958.33</v>
      </c>
      <c r="G160" s="4" t="s">
        <v>69</v>
      </c>
      <c r="H160" s="4" t="s">
        <v>70</v>
      </c>
      <c r="I160" s="4"/>
      <c r="J160" s="4"/>
      <c r="K160" s="4">
        <v>202</v>
      </c>
      <c r="L160" s="4">
        <v>2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1135958.33</v>
      </c>
      <c r="X160" s="4">
        <v>1</v>
      </c>
      <c r="Y160" s="4">
        <v>1135958.33</v>
      </c>
      <c r="Z160" s="4"/>
      <c r="AA160" s="4"/>
      <c r="AB160" s="4"/>
    </row>
    <row r="161" spans="1:28" ht="13" x14ac:dyDescent="0.3">
      <c r="A161" s="4">
        <v>50</v>
      </c>
      <c r="B161" s="4">
        <v>0</v>
      </c>
      <c r="C161" s="4">
        <v>0</v>
      </c>
      <c r="D161" s="4">
        <v>1</v>
      </c>
      <c r="E161" s="4">
        <v>222</v>
      </c>
      <c r="F161" s="4">
        <f>ROUND(Source!AO157,O161)</f>
        <v>0</v>
      </c>
      <c r="G161" s="4" t="s">
        <v>71</v>
      </c>
      <c r="H161" s="4" t="s">
        <v>72</v>
      </c>
      <c r="I161" s="4"/>
      <c r="J161" s="4"/>
      <c r="K161" s="4">
        <v>222</v>
      </c>
      <c r="L161" s="4">
        <v>3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8" ht="13" x14ac:dyDescent="0.3">
      <c r="A162" s="4">
        <v>50</v>
      </c>
      <c r="B162" s="4">
        <v>0</v>
      </c>
      <c r="C162" s="4">
        <v>0</v>
      </c>
      <c r="D162" s="4">
        <v>1</v>
      </c>
      <c r="E162" s="4">
        <v>225</v>
      </c>
      <c r="F162" s="4">
        <f>ROUND(Source!AV157,O162)</f>
        <v>1135958.33</v>
      </c>
      <c r="G162" s="4" t="s">
        <v>73</v>
      </c>
      <c r="H162" s="4" t="s">
        <v>74</v>
      </c>
      <c r="I162" s="4"/>
      <c r="J162" s="4"/>
      <c r="K162" s="4">
        <v>225</v>
      </c>
      <c r="L162" s="4">
        <v>4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1135958.33</v>
      </c>
      <c r="X162" s="4">
        <v>1</v>
      </c>
      <c r="Y162" s="4">
        <v>1135958.33</v>
      </c>
      <c r="Z162" s="4"/>
      <c r="AA162" s="4"/>
      <c r="AB162" s="4"/>
    </row>
    <row r="163" spans="1:28" ht="13" x14ac:dyDescent="0.3">
      <c r="A163" s="4">
        <v>50</v>
      </c>
      <c r="B163" s="4">
        <v>0</v>
      </c>
      <c r="C163" s="4">
        <v>0</v>
      </c>
      <c r="D163" s="4">
        <v>1</v>
      </c>
      <c r="E163" s="4">
        <v>226</v>
      </c>
      <c r="F163" s="4">
        <f>ROUND(Source!AW157,O163)</f>
        <v>1135958.33</v>
      </c>
      <c r="G163" s="4" t="s">
        <v>75</v>
      </c>
      <c r="H163" s="4" t="s">
        <v>76</v>
      </c>
      <c r="I163" s="4"/>
      <c r="J163" s="4"/>
      <c r="K163" s="4">
        <v>226</v>
      </c>
      <c r="L163" s="4">
        <v>5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1135958.33</v>
      </c>
      <c r="X163" s="4">
        <v>1</v>
      </c>
      <c r="Y163" s="4">
        <v>1135958.33</v>
      </c>
      <c r="Z163" s="4"/>
      <c r="AA163" s="4"/>
      <c r="AB163" s="4"/>
    </row>
    <row r="164" spans="1:28" ht="13" x14ac:dyDescent="0.3">
      <c r="A164" s="4">
        <v>50</v>
      </c>
      <c r="B164" s="4">
        <v>0</v>
      </c>
      <c r="C164" s="4">
        <v>0</v>
      </c>
      <c r="D164" s="4">
        <v>1</v>
      </c>
      <c r="E164" s="4">
        <v>227</v>
      </c>
      <c r="F164" s="4">
        <f>ROUND(Source!AX157,O164)</f>
        <v>0</v>
      </c>
      <c r="G164" s="4" t="s">
        <v>77</v>
      </c>
      <c r="H164" s="4" t="s">
        <v>78</v>
      </c>
      <c r="I164" s="4"/>
      <c r="J164" s="4"/>
      <c r="K164" s="4">
        <v>227</v>
      </c>
      <c r="L164" s="4">
        <v>6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8" ht="13" x14ac:dyDescent="0.3">
      <c r="A165" s="4">
        <v>50</v>
      </c>
      <c r="B165" s="4">
        <v>0</v>
      </c>
      <c r="C165" s="4">
        <v>0</v>
      </c>
      <c r="D165" s="4">
        <v>1</v>
      </c>
      <c r="E165" s="4">
        <v>228</v>
      </c>
      <c r="F165" s="4">
        <f>ROUND(Source!AY157,O165)</f>
        <v>1135958.33</v>
      </c>
      <c r="G165" s="4" t="s">
        <v>79</v>
      </c>
      <c r="H165" s="4" t="s">
        <v>80</v>
      </c>
      <c r="I165" s="4"/>
      <c r="J165" s="4"/>
      <c r="K165" s="4">
        <v>228</v>
      </c>
      <c r="L165" s="4">
        <v>7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1135958.33</v>
      </c>
      <c r="X165" s="4">
        <v>1</v>
      </c>
      <c r="Y165" s="4">
        <v>1135958.33</v>
      </c>
      <c r="Z165" s="4"/>
      <c r="AA165" s="4"/>
      <c r="AB165" s="4"/>
    </row>
    <row r="166" spans="1:28" ht="13" x14ac:dyDescent="0.3">
      <c r="A166" s="4">
        <v>50</v>
      </c>
      <c r="B166" s="4">
        <v>0</v>
      </c>
      <c r="C166" s="4">
        <v>0</v>
      </c>
      <c r="D166" s="4">
        <v>1</v>
      </c>
      <c r="E166" s="4">
        <v>216</v>
      </c>
      <c r="F166" s="4">
        <f>ROUND(Source!AP157,O166)</f>
        <v>0</v>
      </c>
      <c r="G166" s="4" t="s">
        <v>81</v>
      </c>
      <c r="H166" s="4" t="s">
        <v>82</v>
      </c>
      <c r="I166" s="4"/>
      <c r="J166" s="4"/>
      <c r="K166" s="4">
        <v>216</v>
      </c>
      <c r="L166" s="4">
        <v>8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8" ht="13" x14ac:dyDescent="0.3">
      <c r="A167" s="4">
        <v>50</v>
      </c>
      <c r="B167" s="4">
        <v>0</v>
      </c>
      <c r="C167" s="4">
        <v>0</v>
      </c>
      <c r="D167" s="4">
        <v>1</v>
      </c>
      <c r="E167" s="4">
        <v>223</v>
      </c>
      <c r="F167" s="4">
        <f>ROUND(Source!AQ157,O167)</f>
        <v>0</v>
      </c>
      <c r="G167" s="4" t="s">
        <v>83</v>
      </c>
      <c r="H167" s="4" t="s">
        <v>84</v>
      </c>
      <c r="I167" s="4"/>
      <c r="J167" s="4"/>
      <c r="K167" s="4">
        <v>223</v>
      </c>
      <c r="L167" s="4">
        <v>9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0</v>
      </c>
      <c r="X167" s="4">
        <v>1</v>
      </c>
      <c r="Y167" s="4">
        <v>0</v>
      </c>
      <c r="Z167" s="4"/>
      <c r="AA167" s="4"/>
      <c r="AB167" s="4"/>
    </row>
    <row r="168" spans="1:28" ht="13" x14ac:dyDescent="0.3">
      <c r="A168" s="4">
        <v>50</v>
      </c>
      <c r="B168" s="4">
        <v>0</v>
      </c>
      <c r="C168" s="4">
        <v>0</v>
      </c>
      <c r="D168" s="4">
        <v>1</v>
      </c>
      <c r="E168" s="4">
        <v>229</v>
      </c>
      <c r="F168" s="4">
        <f>ROUND(Source!AZ157,O168)</f>
        <v>0</v>
      </c>
      <c r="G168" s="4" t="s">
        <v>85</v>
      </c>
      <c r="H168" s="4" t="s">
        <v>86</v>
      </c>
      <c r="I168" s="4"/>
      <c r="J168" s="4"/>
      <c r="K168" s="4">
        <v>229</v>
      </c>
      <c r="L168" s="4">
        <v>10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 ht="13" x14ac:dyDescent="0.3">
      <c r="A169" s="4">
        <v>50</v>
      </c>
      <c r="B169" s="4">
        <v>0</v>
      </c>
      <c r="C169" s="4">
        <v>0</v>
      </c>
      <c r="D169" s="4">
        <v>1</v>
      </c>
      <c r="E169" s="4">
        <v>203</v>
      </c>
      <c r="F169" s="4">
        <f>ROUND(Source!Q157,O169)</f>
        <v>8260958.8700000001</v>
      </c>
      <c r="G169" s="4" t="s">
        <v>87</v>
      </c>
      <c r="H169" s="4" t="s">
        <v>88</v>
      </c>
      <c r="I169" s="4"/>
      <c r="J169" s="4"/>
      <c r="K169" s="4">
        <v>203</v>
      </c>
      <c r="L169" s="4">
        <v>11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8260958.8700000001</v>
      </c>
      <c r="X169" s="4">
        <v>1</v>
      </c>
      <c r="Y169" s="4">
        <v>8260958.8700000001</v>
      </c>
      <c r="Z169" s="4"/>
      <c r="AA169" s="4"/>
      <c r="AB169" s="4"/>
    </row>
    <row r="170" spans="1:28" ht="13" x14ac:dyDescent="0.3">
      <c r="A170" s="4">
        <v>50</v>
      </c>
      <c r="B170" s="4">
        <v>0</v>
      </c>
      <c r="C170" s="4">
        <v>0</v>
      </c>
      <c r="D170" s="4">
        <v>1</v>
      </c>
      <c r="E170" s="4">
        <v>231</v>
      </c>
      <c r="F170" s="4">
        <f>ROUND(Source!BB157,O170)</f>
        <v>0</v>
      </c>
      <c r="G170" s="4" t="s">
        <v>89</v>
      </c>
      <c r="H170" s="4" t="s">
        <v>90</v>
      </c>
      <c r="I170" s="4"/>
      <c r="J170" s="4"/>
      <c r="K170" s="4">
        <v>231</v>
      </c>
      <c r="L170" s="4">
        <v>12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1" spans="1:28" ht="13" x14ac:dyDescent="0.3">
      <c r="A171" s="4">
        <v>50</v>
      </c>
      <c r="B171" s="4">
        <v>0</v>
      </c>
      <c r="C171" s="4">
        <v>0</v>
      </c>
      <c r="D171" s="4">
        <v>1</v>
      </c>
      <c r="E171" s="4">
        <v>204</v>
      </c>
      <c r="F171" s="4">
        <f>ROUND(Source!R157,O171)</f>
        <v>3819874.61</v>
      </c>
      <c r="G171" s="4" t="s">
        <v>91</v>
      </c>
      <c r="H171" s="4" t="s">
        <v>92</v>
      </c>
      <c r="I171" s="4"/>
      <c r="J171" s="4"/>
      <c r="K171" s="4">
        <v>204</v>
      </c>
      <c r="L171" s="4">
        <v>13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3819874.61</v>
      </c>
      <c r="X171" s="4">
        <v>1</v>
      </c>
      <c r="Y171" s="4">
        <v>3819874.61</v>
      </c>
      <c r="Z171" s="4"/>
      <c r="AA171" s="4"/>
      <c r="AB171" s="4"/>
    </row>
    <row r="172" spans="1:28" ht="13" x14ac:dyDescent="0.3">
      <c r="A172" s="4">
        <v>50</v>
      </c>
      <c r="B172" s="4">
        <v>0</v>
      </c>
      <c r="C172" s="4">
        <v>0</v>
      </c>
      <c r="D172" s="4">
        <v>1</v>
      </c>
      <c r="E172" s="4">
        <v>205</v>
      </c>
      <c r="F172" s="4">
        <f>ROUND(Source!S157,O172)</f>
        <v>3688329.88</v>
      </c>
      <c r="G172" s="4" t="s">
        <v>93</v>
      </c>
      <c r="H172" s="4" t="s">
        <v>94</v>
      </c>
      <c r="I172" s="4"/>
      <c r="J172" s="4"/>
      <c r="K172" s="4">
        <v>205</v>
      </c>
      <c r="L172" s="4">
        <v>14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3688329.88</v>
      </c>
      <c r="X172" s="4">
        <v>1</v>
      </c>
      <c r="Y172" s="4">
        <v>3688329.88</v>
      </c>
      <c r="Z172" s="4"/>
      <c r="AA172" s="4"/>
      <c r="AB172" s="4"/>
    </row>
    <row r="173" spans="1:28" ht="13" x14ac:dyDescent="0.3">
      <c r="A173" s="4">
        <v>50</v>
      </c>
      <c r="B173" s="4">
        <v>0</v>
      </c>
      <c r="C173" s="4">
        <v>0</v>
      </c>
      <c r="D173" s="4">
        <v>1</v>
      </c>
      <c r="E173" s="4">
        <v>232</v>
      </c>
      <c r="F173" s="4">
        <f>ROUND(Source!BC157,O173)</f>
        <v>0</v>
      </c>
      <c r="G173" s="4" t="s">
        <v>95</v>
      </c>
      <c r="H173" s="4" t="s">
        <v>96</v>
      </c>
      <c r="I173" s="4"/>
      <c r="J173" s="4"/>
      <c r="K173" s="4">
        <v>232</v>
      </c>
      <c r="L173" s="4">
        <v>15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 ht="13" x14ac:dyDescent="0.3">
      <c r="A174" s="4">
        <v>50</v>
      </c>
      <c r="B174" s="4">
        <v>0</v>
      </c>
      <c r="C174" s="4">
        <v>0</v>
      </c>
      <c r="D174" s="4">
        <v>1</v>
      </c>
      <c r="E174" s="4">
        <v>214</v>
      </c>
      <c r="F174" s="4">
        <f>ROUND(Source!AS157,O174)</f>
        <v>0</v>
      </c>
      <c r="G174" s="4" t="s">
        <v>97</v>
      </c>
      <c r="H174" s="4" t="s">
        <v>98</v>
      </c>
      <c r="I174" s="4"/>
      <c r="J174" s="4"/>
      <c r="K174" s="4">
        <v>214</v>
      </c>
      <c r="L174" s="4">
        <v>16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8" ht="13" x14ac:dyDescent="0.3">
      <c r="A175" s="4">
        <v>50</v>
      </c>
      <c r="B175" s="4">
        <v>0</v>
      </c>
      <c r="C175" s="4">
        <v>0</v>
      </c>
      <c r="D175" s="4">
        <v>1</v>
      </c>
      <c r="E175" s="4">
        <v>215</v>
      </c>
      <c r="F175" s="4">
        <f>ROUND(Source!AT157,O175)</f>
        <v>0</v>
      </c>
      <c r="G175" s="4" t="s">
        <v>99</v>
      </c>
      <c r="H175" s="4" t="s">
        <v>100</v>
      </c>
      <c r="I175" s="4"/>
      <c r="J175" s="4"/>
      <c r="K175" s="4">
        <v>215</v>
      </c>
      <c r="L175" s="4">
        <v>17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8" ht="13" x14ac:dyDescent="0.3">
      <c r="A176" s="4">
        <v>50</v>
      </c>
      <c r="B176" s="4">
        <v>0</v>
      </c>
      <c r="C176" s="4">
        <v>0</v>
      </c>
      <c r="D176" s="4">
        <v>1</v>
      </c>
      <c r="E176" s="4">
        <v>217</v>
      </c>
      <c r="F176" s="4">
        <f>ROUND(Source!AU157,O176)</f>
        <v>20161375.559999999</v>
      </c>
      <c r="G176" s="4" t="s">
        <v>101</v>
      </c>
      <c r="H176" s="4" t="s">
        <v>102</v>
      </c>
      <c r="I176" s="4"/>
      <c r="J176" s="4"/>
      <c r="K176" s="4">
        <v>217</v>
      </c>
      <c r="L176" s="4">
        <v>18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20161375.559999999</v>
      </c>
      <c r="X176" s="4">
        <v>1</v>
      </c>
      <c r="Y176" s="4">
        <v>20161375.559999999</v>
      </c>
      <c r="Z176" s="4"/>
      <c r="AA176" s="4"/>
      <c r="AB176" s="4"/>
    </row>
    <row r="177" spans="1:206" ht="13" x14ac:dyDescent="0.3">
      <c r="A177" s="4">
        <v>50</v>
      </c>
      <c r="B177" s="4">
        <v>0</v>
      </c>
      <c r="C177" s="4">
        <v>0</v>
      </c>
      <c r="D177" s="4">
        <v>1</v>
      </c>
      <c r="E177" s="4">
        <v>230</v>
      </c>
      <c r="F177" s="4">
        <f>ROUND(Source!BA157,O177)</f>
        <v>0</v>
      </c>
      <c r="G177" s="4" t="s">
        <v>103</v>
      </c>
      <c r="H177" s="4" t="s">
        <v>104</v>
      </c>
      <c r="I177" s="4"/>
      <c r="J177" s="4"/>
      <c r="K177" s="4">
        <v>230</v>
      </c>
      <c r="L177" s="4">
        <v>19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06" ht="13" x14ac:dyDescent="0.3">
      <c r="A178" s="4">
        <v>50</v>
      </c>
      <c r="B178" s="4">
        <v>0</v>
      </c>
      <c r="C178" s="4">
        <v>0</v>
      </c>
      <c r="D178" s="4">
        <v>1</v>
      </c>
      <c r="E178" s="4">
        <v>206</v>
      </c>
      <c r="F178" s="4">
        <f>ROUND(Source!T157,O178)</f>
        <v>0</v>
      </c>
      <c r="G178" s="4" t="s">
        <v>105</v>
      </c>
      <c r="H178" s="4" t="s">
        <v>106</v>
      </c>
      <c r="I178" s="4"/>
      <c r="J178" s="4"/>
      <c r="K178" s="4">
        <v>206</v>
      </c>
      <c r="L178" s="4">
        <v>20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06" ht="13" x14ac:dyDescent="0.3">
      <c r="A179" s="4">
        <v>50</v>
      </c>
      <c r="B179" s="4">
        <v>0</v>
      </c>
      <c r="C179" s="4">
        <v>0</v>
      </c>
      <c r="D179" s="4">
        <v>1</v>
      </c>
      <c r="E179" s="4">
        <v>207</v>
      </c>
      <c r="F179" s="4">
        <f>Source!U157</f>
        <v>8113.1335250000011</v>
      </c>
      <c r="G179" s="4" t="s">
        <v>107</v>
      </c>
      <c r="H179" s="4" t="s">
        <v>108</v>
      </c>
      <c r="I179" s="4"/>
      <c r="J179" s="4"/>
      <c r="K179" s="4">
        <v>207</v>
      </c>
      <c r="L179" s="4">
        <v>21</v>
      </c>
      <c r="M179" s="4">
        <v>3</v>
      </c>
      <c r="N179" s="4" t="s">
        <v>3</v>
      </c>
      <c r="O179" s="4">
        <v>-1</v>
      </c>
      <c r="P179" s="4"/>
      <c r="Q179" s="4"/>
      <c r="R179" s="4"/>
      <c r="S179" s="4"/>
      <c r="T179" s="4"/>
      <c r="U179" s="4"/>
      <c r="V179" s="4"/>
      <c r="W179" s="4">
        <v>8113.1335250000011</v>
      </c>
      <c r="X179" s="4">
        <v>1</v>
      </c>
      <c r="Y179" s="4">
        <v>8113.1335250000011</v>
      </c>
      <c r="Z179" s="4"/>
      <c r="AA179" s="4"/>
      <c r="AB179" s="4"/>
    </row>
    <row r="180" spans="1:206" ht="13" x14ac:dyDescent="0.3">
      <c r="A180" s="4">
        <v>50</v>
      </c>
      <c r="B180" s="4">
        <v>0</v>
      </c>
      <c r="C180" s="4">
        <v>0</v>
      </c>
      <c r="D180" s="4">
        <v>1</v>
      </c>
      <c r="E180" s="4">
        <v>208</v>
      </c>
      <c r="F180" s="4">
        <f>Source!V157</f>
        <v>0</v>
      </c>
      <c r="G180" s="4" t="s">
        <v>109</v>
      </c>
      <c r="H180" s="4" t="s">
        <v>110</v>
      </c>
      <c r="I180" s="4"/>
      <c r="J180" s="4"/>
      <c r="K180" s="4">
        <v>208</v>
      </c>
      <c r="L180" s="4">
        <v>22</v>
      </c>
      <c r="M180" s="4">
        <v>3</v>
      </c>
      <c r="N180" s="4" t="s">
        <v>3</v>
      </c>
      <c r="O180" s="4">
        <v>-1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06" ht="13" x14ac:dyDescent="0.3">
      <c r="A181" s="4">
        <v>50</v>
      </c>
      <c r="B181" s="4">
        <v>0</v>
      </c>
      <c r="C181" s="4">
        <v>0</v>
      </c>
      <c r="D181" s="4">
        <v>1</v>
      </c>
      <c r="E181" s="4">
        <v>209</v>
      </c>
      <c r="F181" s="4">
        <f>ROUND(Source!W157,O181)</f>
        <v>0</v>
      </c>
      <c r="G181" s="4" t="s">
        <v>111</v>
      </c>
      <c r="H181" s="4" t="s">
        <v>112</v>
      </c>
      <c r="I181" s="4"/>
      <c r="J181" s="4"/>
      <c r="K181" s="4">
        <v>209</v>
      </c>
      <c r="L181" s="4">
        <v>23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06" ht="13" x14ac:dyDescent="0.3">
      <c r="A182" s="4">
        <v>50</v>
      </c>
      <c r="B182" s="4">
        <v>0</v>
      </c>
      <c r="C182" s="4">
        <v>0</v>
      </c>
      <c r="D182" s="4">
        <v>1</v>
      </c>
      <c r="E182" s="4">
        <v>233</v>
      </c>
      <c r="F182" s="4">
        <f>ROUND(Source!BD157,O182)</f>
        <v>0</v>
      </c>
      <c r="G182" s="4" t="s">
        <v>113</v>
      </c>
      <c r="H182" s="4" t="s">
        <v>114</v>
      </c>
      <c r="I182" s="4"/>
      <c r="J182" s="4"/>
      <c r="K182" s="4">
        <v>233</v>
      </c>
      <c r="L182" s="4">
        <v>24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06" ht="13" x14ac:dyDescent="0.3">
      <c r="A183" s="4">
        <v>50</v>
      </c>
      <c r="B183" s="4">
        <v>0</v>
      </c>
      <c r="C183" s="4">
        <v>0</v>
      </c>
      <c r="D183" s="4">
        <v>1</v>
      </c>
      <c r="E183" s="4">
        <v>210</v>
      </c>
      <c r="F183" s="4">
        <f>ROUND(Source!X157,O183)</f>
        <v>2581830.92</v>
      </c>
      <c r="G183" s="4" t="s">
        <v>115</v>
      </c>
      <c r="H183" s="4" t="s">
        <v>116</v>
      </c>
      <c r="I183" s="4"/>
      <c r="J183" s="4"/>
      <c r="K183" s="4">
        <v>210</v>
      </c>
      <c r="L183" s="4">
        <v>25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2581830.92</v>
      </c>
      <c r="X183" s="4">
        <v>1</v>
      </c>
      <c r="Y183" s="4">
        <v>2581830.92</v>
      </c>
      <c r="Z183" s="4"/>
      <c r="AA183" s="4"/>
      <c r="AB183" s="4"/>
    </row>
    <row r="184" spans="1:206" ht="13" x14ac:dyDescent="0.3">
      <c r="A184" s="4">
        <v>50</v>
      </c>
      <c r="B184" s="4">
        <v>0</v>
      </c>
      <c r="C184" s="4">
        <v>0</v>
      </c>
      <c r="D184" s="4">
        <v>1</v>
      </c>
      <c r="E184" s="4">
        <v>211</v>
      </c>
      <c r="F184" s="4">
        <f>ROUND(Source!Y157,O184)</f>
        <v>368832.99</v>
      </c>
      <c r="G184" s="4" t="s">
        <v>117</v>
      </c>
      <c r="H184" s="4" t="s">
        <v>118</v>
      </c>
      <c r="I184" s="4"/>
      <c r="J184" s="4"/>
      <c r="K184" s="4">
        <v>211</v>
      </c>
      <c r="L184" s="4">
        <v>26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368832.99</v>
      </c>
      <c r="X184" s="4">
        <v>1</v>
      </c>
      <c r="Y184" s="4">
        <v>368832.99</v>
      </c>
      <c r="Z184" s="4"/>
      <c r="AA184" s="4"/>
      <c r="AB184" s="4"/>
    </row>
    <row r="185" spans="1:206" ht="13" x14ac:dyDescent="0.3">
      <c r="A185" s="4">
        <v>50</v>
      </c>
      <c r="B185" s="4">
        <v>0</v>
      </c>
      <c r="C185" s="4">
        <v>0</v>
      </c>
      <c r="D185" s="4">
        <v>1</v>
      </c>
      <c r="E185" s="4">
        <v>224</v>
      </c>
      <c r="F185" s="4">
        <f>ROUND(Source!AR157,O185)</f>
        <v>20161375.559999999</v>
      </c>
      <c r="G185" s="4" t="s">
        <v>119</v>
      </c>
      <c r="H185" s="4" t="s">
        <v>120</v>
      </c>
      <c r="I185" s="4"/>
      <c r="J185" s="4"/>
      <c r="K185" s="4">
        <v>224</v>
      </c>
      <c r="L185" s="4">
        <v>27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20161375.559999999</v>
      </c>
      <c r="X185" s="4">
        <v>1</v>
      </c>
      <c r="Y185" s="4">
        <v>20161375.559999999</v>
      </c>
      <c r="Z185" s="4"/>
      <c r="AA185" s="4"/>
      <c r="AB185" s="4"/>
    </row>
    <row r="187" spans="1:206" ht="13" x14ac:dyDescent="0.3">
      <c r="A187" s="2">
        <v>51</v>
      </c>
      <c r="B187" s="2">
        <f>B20</f>
        <v>1</v>
      </c>
      <c r="C187" s="2">
        <f>A20</f>
        <v>3</v>
      </c>
      <c r="D187" s="2">
        <f>ROW(A20)</f>
        <v>20</v>
      </c>
      <c r="E187" s="2"/>
      <c r="F187" s="2" t="str">
        <f>IF(F20&lt;&gt;"",F20,"")</f>
        <v>Новая локальная смета</v>
      </c>
      <c r="G187" s="2" t="str">
        <f>IF(G20&lt;&gt;"",G20,"")</f>
        <v>Локальная смета: Зона №5</v>
      </c>
      <c r="H187" s="2">
        <v>0</v>
      </c>
      <c r="I187" s="2"/>
      <c r="J187" s="2"/>
      <c r="K187" s="2"/>
      <c r="L187" s="2"/>
      <c r="M187" s="2"/>
      <c r="N187" s="2"/>
      <c r="O187" s="2">
        <f t="shared" ref="O187:T187" si="120">ROUND(O157+AB187,2)</f>
        <v>13085247.08</v>
      </c>
      <c r="P187" s="2">
        <f t="shared" si="120"/>
        <v>1135958.33</v>
      </c>
      <c r="Q187" s="2">
        <f t="shared" si="120"/>
        <v>8260958.8700000001</v>
      </c>
      <c r="R187" s="2">
        <f t="shared" si="120"/>
        <v>3819874.61</v>
      </c>
      <c r="S187" s="2">
        <f t="shared" si="120"/>
        <v>3688329.88</v>
      </c>
      <c r="T187" s="2">
        <f t="shared" si="120"/>
        <v>0</v>
      </c>
      <c r="U187" s="2">
        <f>U157+AH187</f>
        <v>8113.1335250000011</v>
      </c>
      <c r="V187" s="2">
        <f>V157+AI187</f>
        <v>0</v>
      </c>
      <c r="W187" s="2">
        <f>ROUND(W157+AJ187,2)</f>
        <v>0</v>
      </c>
      <c r="X187" s="2">
        <f>ROUND(X157+AK187,2)</f>
        <v>2581830.92</v>
      </c>
      <c r="Y187" s="2">
        <f>ROUND(Y157+AL187,2)</f>
        <v>368832.99</v>
      </c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>
        <f t="shared" ref="AO187:BD187" si="121">ROUND(AO157+BX187,2)</f>
        <v>0</v>
      </c>
      <c r="AP187" s="2">
        <f t="shared" si="121"/>
        <v>0</v>
      </c>
      <c r="AQ187" s="2">
        <f t="shared" si="121"/>
        <v>0</v>
      </c>
      <c r="AR187" s="2">
        <f t="shared" si="121"/>
        <v>20161375.559999999</v>
      </c>
      <c r="AS187" s="2">
        <f t="shared" si="121"/>
        <v>0</v>
      </c>
      <c r="AT187" s="2">
        <f t="shared" si="121"/>
        <v>0</v>
      </c>
      <c r="AU187" s="2">
        <f t="shared" si="121"/>
        <v>20161375.559999999</v>
      </c>
      <c r="AV187" s="2">
        <f t="shared" si="121"/>
        <v>1135958.33</v>
      </c>
      <c r="AW187" s="2">
        <f t="shared" si="121"/>
        <v>1135958.33</v>
      </c>
      <c r="AX187" s="2">
        <f t="shared" si="121"/>
        <v>0</v>
      </c>
      <c r="AY187" s="2">
        <f t="shared" si="121"/>
        <v>1135958.33</v>
      </c>
      <c r="AZ187" s="2">
        <f t="shared" si="121"/>
        <v>0</v>
      </c>
      <c r="BA187" s="2">
        <f t="shared" si="121"/>
        <v>0</v>
      </c>
      <c r="BB187" s="2">
        <f t="shared" si="121"/>
        <v>0</v>
      </c>
      <c r="BC187" s="2">
        <f t="shared" si="121"/>
        <v>0</v>
      </c>
      <c r="BD187" s="2">
        <f t="shared" si="121"/>
        <v>0</v>
      </c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3"/>
      <c r="DH187" s="3"/>
      <c r="DI187" s="3"/>
      <c r="DJ187" s="3"/>
      <c r="DK187" s="3"/>
      <c r="DL187" s="3"/>
      <c r="DM187" s="3"/>
      <c r="DN187" s="3"/>
      <c r="DO187" s="3"/>
      <c r="DP187" s="3"/>
      <c r="DQ187" s="3"/>
      <c r="DR187" s="3"/>
      <c r="DS187" s="3"/>
      <c r="DT187" s="3"/>
      <c r="DU187" s="3"/>
      <c r="DV187" s="3"/>
      <c r="DW187" s="3"/>
      <c r="DX187" s="3"/>
      <c r="DY187" s="3"/>
      <c r="DZ187" s="3"/>
      <c r="EA187" s="3"/>
      <c r="EB187" s="3"/>
      <c r="EC187" s="3"/>
      <c r="ED187" s="3"/>
      <c r="EE187" s="3"/>
      <c r="EF187" s="3"/>
      <c r="EG187" s="3"/>
      <c r="EH187" s="3"/>
      <c r="EI187" s="3"/>
      <c r="EJ187" s="3"/>
      <c r="EK187" s="3"/>
      <c r="EL187" s="3"/>
      <c r="EM187" s="3"/>
      <c r="EN187" s="3"/>
      <c r="EO187" s="3"/>
      <c r="EP187" s="3"/>
      <c r="EQ187" s="3"/>
      <c r="ER187" s="3"/>
      <c r="ES187" s="3"/>
      <c r="ET187" s="3"/>
      <c r="EU187" s="3"/>
      <c r="EV187" s="3"/>
      <c r="EW187" s="3"/>
      <c r="EX187" s="3"/>
      <c r="EY187" s="3"/>
      <c r="EZ187" s="3"/>
      <c r="FA187" s="3"/>
      <c r="FB187" s="3"/>
      <c r="FC187" s="3"/>
      <c r="FD187" s="3"/>
      <c r="FE187" s="3"/>
      <c r="FF187" s="3"/>
      <c r="FG187" s="3"/>
      <c r="FH187" s="3"/>
      <c r="FI187" s="3"/>
      <c r="FJ187" s="3"/>
      <c r="FK187" s="3"/>
      <c r="FL187" s="3"/>
      <c r="FM187" s="3"/>
      <c r="FN187" s="3"/>
      <c r="FO187" s="3"/>
      <c r="FP187" s="3"/>
      <c r="FQ187" s="3"/>
      <c r="FR187" s="3"/>
      <c r="FS187" s="3"/>
      <c r="FT187" s="3"/>
      <c r="FU187" s="3"/>
      <c r="FV187" s="3"/>
      <c r="FW187" s="3"/>
      <c r="FX187" s="3"/>
      <c r="FY187" s="3"/>
      <c r="FZ187" s="3"/>
      <c r="GA187" s="3"/>
      <c r="GB187" s="3"/>
      <c r="GC187" s="3"/>
      <c r="GD187" s="3"/>
      <c r="GE187" s="3"/>
      <c r="GF187" s="3"/>
      <c r="GG187" s="3"/>
      <c r="GH187" s="3"/>
      <c r="GI187" s="3"/>
      <c r="GJ187" s="3"/>
      <c r="GK187" s="3"/>
      <c r="GL187" s="3"/>
      <c r="GM187" s="3"/>
      <c r="GN187" s="3"/>
      <c r="GO187" s="3"/>
      <c r="GP187" s="3"/>
      <c r="GQ187" s="3"/>
      <c r="GR187" s="3"/>
      <c r="GS187" s="3"/>
      <c r="GT187" s="3"/>
      <c r="GU187" s="3"/>
      <c r="GV187" s="3"/>
      <c r="GW187" s="3"/>
      <c r="GX187" s="3">
        <v>0</v>
      </c>
    </row>
    <row r="189" spans="1:206" ht="13" x14ac:dyDescent="0.3">
      <c r="A189" s="4">
        <v>50</v>
      </c>
      <c r="B189" s="4">
        <v>0</v>
      </c>
      <c r="C189" s="4">
        <v>0</v>
      </c>
      <c r="D189" s="4">
        <v>1</v>
      </c>
      <c r="E189" s="4">
        <v>201</v>
      </c>
      <c r="F189" s="4">
        <f>ROUND(Source!O187,O189)</f>
        <v>13085247.08</v>
      </c>
      <c r="G189" s="4" t="s">
        <v>67</v>
      </c>
      <c r="H189" s="4" t="s">
        <v>68</v>
      </c>
      <c r="I189" s="4"/>
      <c r="J189" s="4"/>
      <c r="K189" s="4">
        <v>201</v>
      </c>
      <c r="L189" s="4">
        <v>1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13085247.08</v>
      </c>
      <c r="X189" s="4">
        <v>1</v>
      </c>
      <c r="Y189" s="4">
        <v>13085247.08</v>
      </c>
      <c r="Z189" s="4"/>
      <c r="AA189" s="4"/>
      <c r="AB189" s="4"/>
    </row>
    <row r="190" spans="1:206" ht="13" x14ac:dyDescent="0.3">
      <c r="A190" s="4">
        <v>50</v>
      </c>
      <c r="B190" s="4">
        <v>0</v>
      </c>
      <c r="C190" s="4">
        <v>0</v>
      </c>
      <c r="D190" s="4">
        <v>1</v>
      </c>
      <c r="E190" s="4">
        <v>202</v>
      </c>
      <c r="F190" s="4">
        <f>ROUND(Source!P187,O190)</f>
        <v>1135958.33</v>
      </c>
      <c r="G190" s="4" t="s">
        <v>69</v>
      </c>
      <c r="H190" s="4" t="s">
        <v>70</v>
      </c>
      <c r="I190" s="4"/>
      <c r="J190" s="4"/>
      <c r="K190" s="4">
        <v>202</v>
      </c>
      <c r="L190" s="4">
        <v>2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1135958.33</v>
      </c>
      <c r="X190" s="4">
        <v>1</v>
      </c>
      <c r="Y190" s="4">
        <v>1135958.33</v>
      </c>
      <c r="Z190" s="4"/>
      <c r="AA190" s="4"/>
      <c r="AB190" s="4"/>
    </row>
    <row r="191" spans="1:206" ht="13" x14ac:dyDescent="0.3">
      <c r="A191" s="4">
        <v>50</v>
      </c>
      <c r="B191" s="4">
        <v>0</v>
      </c>
      <c r="C191" s="4">
        <v>0</v>
      </c>
      <c r="D191" s="4">
        <v>1</v>
      </c>
      <c r="E191" s="4">
        <v>222</v>
      </c>
      <c r="F191" s="4">
        <f>ROUND(Source!AO187,O191)</f>
        <v>0</v>
      </c>
      <c r="G191" s="4" t="s">
        <v>71</v>
      </c>
      <c r="H191" s="4" t="s">
        <v>72</v>
      </c>
      <c r="I191" s="4"/>
      <c r="J191" s="4"/>
      <c r="K191" s="4">
        <v>222</v>
      </c>
      <c r="L191" s="4">
        <v>3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06" ht="13" x14ac:dyDescent="0.3">
      <c r="A192" s="4">
        <v>50</v>
      </c>
      <c r="B192" s="4">
        <v>0</v>
      </c>
      <c r="C192" s="4">
        <v>0</v>
      </c>
      <c r="D192" s="4">
        <v>1</v>
      </c>
      <c r="E192" s="4">
        <v>225</v>
      </c>
      <c r="F192" s="4">
        <f>ROUND(Source!AV187,O192)</f>
        <v>1135958.33</v>
      </c>
      <c r="G192" s="4" t="s">
        <v>73</v>
      </c>
      <c r="H192" s="4" t="s">
        <v>74</v>
      </c>
      <c r="I192" s="4"/>
      <c r="J192" s="4"/>
      <c r="K192" s="4">
        <v>225</v>
      </c>
      <c r="L192" s="4">
        <v>4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1135958.33</v>
      </c>
      <c r="X192" s="4">
        <v>1</v>
      </c>
      <c r="Y192" s="4">
        <v>1135958.33</v>
      </c>
      <c r="Z192" s="4"/>
      <c r="AA192" s="4"/>
      <c r="AB192" s="4"/>
    </row>
    <row r="193" spans="1:28" ht="13" x14ac:dyDescent="0.3">
      <c r="A193" s="4">
        <v>50</v>
      </c>
      <c r="B193" s="4">
        <v>0</v>
      </c>
      <c r="C193" s="4">
        <v>0</v>
      </c>
      <c r="D193" s="4">
        <v>1</v>
      </c>
      <c r="E193" s="4">
        <v>226</v>
      </c>
      <c r="F193" s="4">
        <f>ROUND(Source!AW187,O193)</f>
        <v>1135958.33</v>
      </c>
      <c r="G193" s="4" t="s">
        <v>75</v>
      </c>
      <c r="H193" s="4" t="s">
        <v>76</v>
      </c>
      <c r="I193" s="4"/>
      <c r="J193" s="4"/>
      <c r="K193" s="4">
        <v>226</v>
      </c>
      <c r="L193" s="4">
        <v>5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1135958.33</v>
      </c>
      <c r="X193" s="4">
        <v>1</v>
      </c>
      <c r="Y193" s="4">
        <v>1135958.33</v>
      </c>
      <c r="Z193" s="4"/>
      <c r="AA193" s="4"/>
      <c r="AB193" s="4"/>
    </row>
    <row r="194" spans="1:28" ht="13" x14ac:dyDescent="0.3">
      <c r="A194" s="4">
        <v>50</v>
      </c>
      <c r="B194" s="4">
        <v>0</v>
      </c>
      <c r="C194" s="4">
        <v>0</v>
      </c>
      <c r="D194" s="4">
        <v>1</v>
      </c>
      <c r="E194" s="4">
        <v>227</v>
      </c>
      <c r="F194" s="4">
        <f>ROUND(Source!AX187,O194)</f>
        <v>0</v>
      </c>
      <c r="G194" s="4" t="s">
        <v>77</v>
      </c>
      <c r="H194" s="4" t="s">
        <v>78</v>
      </c>
      <c r="I194" s="4"/>
      <c r="J194" s="4"/>
      <c r="K194" s="4">
        <v>227</v>
      </c>
      <c r="L194" s="4">
        <v>6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8" ht="13" x14ac:dyDescent="0.3">
      <c r="A195" s="4">
        <v>50</v>
      </c>
      <c r="B195" s="4">
        <v>0</v>
      </c>
      <c r="C195" s="4">
        <v>0</v>
      </c>
      <c r="D195" s="4">
        <v>1</v>
      </c>
      <c r="E195" s="4">
        <v>228</v>
      </c>
      <c r="F195" s="4">
        <f>ROUND(Source!AY187,O195)</f>
        <v>1135958.33</v>
      </c>
      <c r="G195" s="4" t="s">
        <v>79</v>
      </c>
      <c r="H195" s="4" t="s">
        <v>80</v>
      </c>
      <c r="I195" s="4"/>
      <c r="J195" s="4"/>
      <c r="K195" s="4">
        <v>228</v>
      </c>
      <c r="L195" s="4">
        <v>7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1135958.33</v>
      </c>
      <c r="X195" s="4">
        <v>1</v>
      </c>
      <c r="Y195" s="4">
        <v>1135958.33</v>
      </c>
      <c r="Z195" s="4"/>
      <c r="AA195" s="4"/>
      <c r="AB195" s="4"/>
    </row>
    <row r="196" spans="1:28" ht="13" x14ac:dyDescent="0.3">
      <c r="A196" s="4">
        <v>50</v>
      </c>
      <c r="B196" s="4">
        <v>0</v>
      </c>
      <c r="C196" s="4">
        <v>0</v>
      </c>
      <c r="D196" s="4">
        <v>1</v>
      </c>
      <c r="E196" s="4">
        <v>216</v>
      </c>
      <c r="F196" s="4">
        <f>ROUND(Source!AP187,O196)</f>
        <v>0</v>
      </c>
      <c r="G196" s="4" t="s">
        <v>81</v>
      </c>
      <c r="H196" s="4" t="s">
        <v>82</v>
      </c>
      <c r="I196" s="4"/>
      <c r="J196" s="4"/>
      <c r="K196" s="4">
        <v>216</v>
      </c>
      <c r="L196" s="4">
        <v>8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8" ht="13" x14ac:dyDescent="0.3">
      <c r="A197" s="4">
        <v>50</v>
      </c>
      <c r="B197" s="4">
        <v>0</v>
      </c>
      <c r="C197" s="4">
        <v>0</v>
      </c>
      <c r="D197" s="4">
        <v>1</v>
      </c>
      <c r="E197" s="4">
        <v>223</v>
      </c>
      <c r="F197" s="4">
        <f>ROUND(Source!AQ187,O197)</f>
        <v>0</v>
      </c>
      <c r="G197" s="4" t="s">
        <v>83</v>
      </c>
      <c r="H197" s="4" t="s">
        <v>84</v>
      </c>
      <c r="I197" s="4"/>
      <c r="J197" s="4"/>
      <c r="K197" s="4">
        <v>223</v>
      </c>
      <c r="L197" s="4">
        <v>9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8" ht="13" x14ac:dyDescent="0.3">
      <c r="A198" s="4">
        <v>50</v>
      </c>
      <c r="B198" s="4">
        <v>0</v>
      </c>
      <c r="C198" s="4">
        <v>0</v>
      </c>
      <c r="D198" s="4">
        <v>1</v>
      </c>
      <c r="E198" s="4">
        <v>229</v>
      </c>
      <c r="F198" s="4">
        <f>ROUND(Source!AZ187,O198)</f>
        <v>0</v>
      </c>
      <c r="G198" s="4" t="s">
        <v>85</v>
      </c>
      <c r="H198" s="4" t="s">
        <v>86</v>
      </c>
      <c r="I198" s="4"/>
      <c r="J198" s="4"/>
      <c r="K198" s="4">
        <v>229</v>
      </c>
      <c r="L198" s="4">
        <v>10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8" ht="13" x14ac:dyDescent="0.3">
      <c r="A199" s="4">
        <v>50</v>
      </c>
      <c r="B199" s="4">
        <v>0</v>
      </c>
      <c r="C199" s="4">
        <v>0</v>
      </c>
      <c r="D199" s="4">
        <v>1</v>
      </c>
      <c r="E199" s="4">
        <v>203</v>
      </c>
      <c r="F199" s="4">
        <f>ROUND(Source!Q187,O199)</f>
        <v>8260958.8700000001</v>
      </c>
      <c r="G199" s="4" t="s">
        <v>87</v>
      </c>
      <c r="H199" s="4" t="s">
        <v>88</v>
      </c>
      <c r="I199" s="4"/>
      <c r="J199" s="4"/>
      <c r="K199" s="4">
        <v>203</v>
      </c>
      <c r="L199" s="4">
        <v>11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8260958.8700000001</v>
      </c>
      <c r="X199" s="4">
        <v>1</v>
      </c>
      <c r="Y199" s="4">
        <v>8260958.8700000001</v>
      </c>
      <c r="Z199" s="4"/>
      <c r="AA199" s="4"/>
      <c r="AB199" s="4"/>
    </row>
    <row r="200" spans="1:28" ht="13" x14ac:dyDescent="0.3">
      <c r="A200" s="4">
        <v>50</v>
      </c>
      <c r="B200" s="4">
        <v>0</v>
      </c>
      <c r="C200" s="4">
        <v>0</v>
      </c>
      <c r="D200" s="4">
        <v>1</v>
      </c>
      <c r="E200" s="4">
        <v>231</v>
      </c>
      <c r="F200" s="4">
        <f>ROUND(Source!BB187,O200)</f>
        <v>0</v>
      </c>
      <c r="G200" s="4" t="s">
        <v>89</v>
      </c>
      <c r="H200" s="4" t="s">
        <v>90</v>
      </c>
      <c r="I200" s="4"/>
      <c r="J200" s="4"/>
      <c r="K200" s="4">
        <v>231</v>
      </c>
      <c r="L200" s="4">
        <v>12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 ht="13" x14ac:dyDescent="0.3">
      <c r="A201" s="4">
        <v>50</v>
      </c>
      <c r="B201" s="4">
        <v>0</v>
      </c>
      <c r="C201" s="4">
        <v>0</v>
      </c>
      <c r="D201" s="4">
        <v>1</v>
      </c>
      <c r="E201" s="4">
        <v>204</v>
      </c>
      <c r="F201" s="4">
        <f>ROUND(Source!R187,O201)</f>
        <v>3819874.61</v>
      </c>
      <c r="G201" s="4" t="s">
        <v>91</v>
      </c>
      <c r="H201" s="4" t="s">
        <v>92</v>
      </c>
      <c r="I201" s="4"/>
      <c r="J201" s="4"/>
      <c r="K201" s="4">
        <v>204</v>
      </c>
      <c r="L201" s="4">
        <v>13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3819874.61</v>
      </c>
      <c r="X201" s="4">
        <v>1</v>
      </c>
      <c r="Y201" s="4">
        <v>3819874.61</v>
      </c>
      <c r="Z201" s="4"/>
      <c r="AA201" s="4"/>
      <c r="AB201" s="4"/>
    </row>
    <row r="202" spans="1:28" ht="13" x14ac:dyDescent="0.3">
      <c r="A202" s="4">
        <v>50</v>
      </c>
      <c r="B202" s="4">
        <v>0</v>
      </c>
      <c r="C202" s="4">
        <v>0</v>
      </c>
      <c r="D202" s="4">
        <v>1</v>
      </c>
      <c r="E202" s="4">
        <v>205</v>
      </c>
      <c r="F202" s="4">
        <f>ROUND(Source!S187,O202)</f>
        <v>3688329.88</v>
      </c>
      <c r="G202" s="4" t="s">
        <v>93</v>
      </c>
      <c r="H202" s="4" t="s">
        <v>94</v>
      </c>
      <c r="I202" s="4"/>
      <c r="J202" s="4"/>
      <c r="K202" s="4">
        <v>205</v>
      </c>
      <c r="L202" s="4">
        <v>14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3688329.88</v>
      </c>
      <c r="X202" s="4">
        <v>1</v>
      </c>
      <c r="Y202" s="4">
        <v>3688329.88</v>
      </c>
      <c r="Z202" s="4"/>
      <c r="AA202" s="4"/>
      <c r="AB202" s="4"/>
    </row>
    <row r="203" spans="1:28" ht="13" x14ac:dyDescent="0.3">
      <c r="A203" s="4">
        <v>50</v>
      </c>
      <c r="B203" s="4">
        <v>0</v>
      </c>
      <c r="C203" s="4">
        <v>0</v>
      </c>
      <c r="D203" s="4">
        <v>1</v>
      </c>
      <c r="E203" s="4">
        <v>232</v>
      </c>
      <c r="F203" s="4">
        <f>ROUND(Source!BC187,O203)</f>
        <v>0</v>
      </c>
      <c r="G203" s="4" t="s">
        <v>95</v>
      </c>
      <c r="H203" s="4" t="s">
        <v>96</v>
      </c>
      <c r="I203" s="4"/>
      <c r="J203" s="4"/>
      <c r="K203" s="4">
        <v>232</v>
      </c>
      <c r="L203" s="4">
        <v>15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 ht="13" x14ac:dyDescent="0.3">
      <c r="A204" s="4">
        <v>50</v>
      </c>
      <c r="B204" s="4">
        <v>0</v>
      </c>
      <c r="C204" s="4">
        <v>0</v>
      </c>
      <c r="D204" s="4">
        <v>1</v>
      </c>
      <c r="E204" s="4">
        <v>214</v>
      </c>
      <c r="F204" s="4">
        <f>ROUND(Source!AS187,O204)</f>
        <v>0</v>
      </c>
      <c r="G204" s="4" t="s">
        <v>97</v>
      </c>
      <c r="H204" s="4" t="s">
        <v>98</v>
      </c>
      <c r="I204" s="4"/>
      <c r="J204" s="4"/>
      <c r="K204" s="4">
        <v>214</v>
      </c>
      <c r="L204" s="4">
        <v>16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8" ht="13" x14ac:dyDescent="0.3">
      <c r="A205" s="4">
        <v>50</v>
      </c>
      <c r="B205" s="4">
        <v>0</v>
      </c>
      <c r="C205" s="4">
        <v>0</v>
      </c>
      <c r="D205" s="4">
        <v>1</v>
      </c>
      <c r="E205" s="4">
        <v>215</v>
      </c>
      <c r="F205" s="4">
        <f>ROUND(Source!AT187,O205)</f>
        <v>0</v>
      </c>
      <c r="G205" s="4" t="s">
        <v>99</v>
      </c>
      <c r="H205" s="4" t="s">
        <v>100</v>
      </c>
      <c r="I205" s="4"/>
      <c r="J205" s="4"/>
      <c r="K205" s="4">
        <v>215</v>
      </c>
      <c r="L205" s="4">
        <v>17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ht="13" x14ac:dyDescent="0.3">
      <c r="A206" s="4">
        <v>50</v>
      </c>
      <c r="B206" s="4">
        <v>0</v>
      </c>
      <c r="C206" s="4">
        <v>0</v>
      </c>
      <c r="D206" s="4">
        <v>1</v>
      </c>
      <c r="E206" s="4">
        <v>217</v>
      </c>
      <c r="F206" s="4">
        <f>ROUND(Source!AU187,O206)</f>
        <v>20161375.559999999</v>
      </c>
      <c r="G206" s="4" t="s">
        <v>101</v>
      </c>
      <c r="H206" s="4" t="s">
        <v>102</v>
      </c>
      <c r="I206" s="4"/>
      <c r="J206" s="4"/>
      <c r="K206" s="4">
        <v>217</v>
      </c>
      <c r="L206" s="4">
        <v>18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20161375.559999999</v>
      </c>
      <c r="X206" s="4">
        <v>1</v>
      </c>
      <c r="Y206" s="4">
        <v>20161375.559999999</v>
      </c>
      <c r="Z206" s="4"/>
      <c r="AA206" s="4"/>
      <c r="AB206" s="4"/>
    </row>
    <row r="207" spans="1:28" ht="13" x14ac:dyDescent="0.3">
      <c r="A207" s="4">
        <v>50</v>
      </c>
      <c r="B207" s="4">
        <v>0</v>
      </c>
      <c r="C207" s="4">
        <v>0</v>
      </c>
      <c r="D207" s="4">
        <v>1</v>
      </c>
      <c r="E207" s="4">
        <v>230</v>
      </c>
      <c r="F207" s="4">
        <f>ROUND(Source!BA187,O207)</f>
        <v>0</v>
      </c>
      <c r="G207" s="4" t="s">
        <v>103</v>
      </c>
      <c r="H207" s="4" t="s">
        <v>104</v>
      </c>
      <c r="I207" s="4"/>
      <c r="J207" s="4"/>
      <c r="K207" s="4">
        <v>230</v>
      </c>
      <c r="L207" s="4">
        <v>19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8" ht="13" x14ac:dyDescent="0.3">
      <c r="A208" s="4">
        <v>50</v>
      </c>
      <c r="B208" s="4">
        <v>0</v>
      </c>
      <c r="C208" s="4">
        <v>0</v>
      </c>
      <c r="D208" s="4">
        <v>1</v>
      </c>
      <c r="E208" s="4">
        <v>206</v>
      </c>
      <c r="F208" s="4">
        <f>ROUND(Source!T187,O208)</f>
        <v>0</v>
      </c>
      <c r="G208" s="4" t="s">
        <v>105</v>
      </c>
      <c r="H208" s="4" t="s">
        <v>106</v>
      </c>
      <c r="I208" s="4"/>
      <c r="J208" s="4"/>
      <c r="K208" s="4">
        <v>206</v>
      </c>
      <c r="L208" s="4">
        <v>20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0</v>
      </c>
      <c r="X208" s="4">
        <v>1</v>
      </c>
      <c r="Y208" s="4">
        <v>0</v>
      </c>
      <c r="Z208" s="4"/>
      <c r="AA208" s="4"/>
      <c r="AB208" s="4"/>
    </row>
    <row r="209" spans="1:206" ht="13" x14ac:dyDescent="0.3">
      <c r="A209" s="4">
        <v>50</v>
      </c>
      <c r="B209" s="4">
        <v>0</v>
      </c>
      <c r="C209" s="4">
        <v>0</v>
      </c>
      <c r="D209" s="4">
        <v>1</v>
      </c>
      <c r="E209" s="4">
        <v>207</v>
      </c>
      <c r="F209" s="4">
        <f>Source!U187</f>
        <v>8113.1335250000011</v>
      </c>
      <c r="G209" s="4" t="s">
        <v>107</v>
      </c>
      <c r="H209" s="4" t="s">
        <v>108</v>
      </c>
      <c r="I209" s="4"/>
      <c r="J209" s="4"/>
      <c r="K209" s="4">
        <v>207</v>
      </c>
      <c r="L209" s="4">
        <v>21</v>
      </c>
      <c r="M209" s="4">
        <v>3</v>
      </c>
      <c r="N209" s="4" t="s">
        <v>3</v>
      </c>
      <c r="O209" s="4">
        <v>-1</v>
      </c>
      <c r="P209" s="4"/>
      <c r="Q209" s="4"/>
      <c r="R209" s="4"/>
      <c r="S209" s="4"/>
      <c r="T209" s="4"/>
      <c r="U209" s="4"/>
      <c r="V209" s="4"/>
      <c r="W209" s="4">
        <v>8113.1335250000011</v>
      </c>
      <c r="X209" s="4">
        <v>1</v>
      </c>
      <c r="Y209" s="4">
        <v>8113.1335250000011</v>
      </c>
      <c r="Z209" s="4"/>
      <c r="AA209" s="4"/>
      <c r="AB209" s="4"/>
    </row>
    <row r="210" spans="1:206" ht="13" x14ac:dyDescent="0.3">
      <c r="A210" s="4">
        <v>50</v>
      </c>
      <c r="B210" s="4">
        <v>0</v>
      </c>
      <c r="C210" s="4">
        <v>0</v>
      </c>
      <c r="D210" s="4">
        <v>1</v>
      </c>
      <c r="E210" s="4">
        <v>208</v>
      </c>
      <c r="F210" s="4">
        <f>Source!V187</f>
        <v>0</v>
      </c>
      <c r="G210" s="4" t="s">
        <v>109</v>
      </c>
      <c r="H210" s="4" t="s">
        <v>110</v>
      </c>
      <c r="I210" s="4"/>
      <c r="J210" s="4"/>
      <c r="K210" s="4">
        <v>208</v>
      </c>
      <c r="L210" s="4">
        <v>22</v>
      </c>
      <c r="M210" s="4">
        <v>3</v>
      </c>
      <c r="N210" s="4" t="s">
        <v>3</v>
      </c>
      <c r="O210" s="4">
        <v>-1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06" ht="13" x14ac:dyDescent="0.3">
      <c r="A211" s="4">
        <v>50</v>
      </c>
      <c r="B211" s="4">
        <v>0</v>
      </c>
      <c r="C211" s="4">
        <v>0</v>
      </c>
      <c r="D211" s="4">
        <v>1</v>
      </c>
      <c r="E211" s="4">
        <v>209</v>
      </c>
      <c r="F211" s="4">
        <f>ROUND(Source!W187,O211)</f>
        <v>0</v>
      </c>
      <c r="G211" s="4" t="s">
        <v>111</v>
      </c>
      <c r="H211" s="4" t="s">
        <v>112</v>
      </c>
      <c r="I211" s="4"/>
      <c r="J211" s="4"/>
      <c r="K211" s="4">
        <v>209</v>
      </c>
      <c r="L211" s="4">
        <v>23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06" ht="13" x14ac:dyDescent="0.3">
      <c r="A212" s="4">
        <v>50</v>
      </c>
      <c r="B212" s="4">
        <v>0</v>
      </c>
      <c r="C212" s="4">
        <v>0</v>
      </c>
      <c r="D212" s="4">
        <v>1</v>
      </c>
      <c r="E212" s="4">
        <v>233</v>
      </c>
      <c r="F212" s="4">
        <f>ROUND(Source!BD187,O212)</f>
        <v>0</v>
      </c>
      <c r="G212" s="4" t="s">
        <v>113</v>
      </c>
      <c r="H212" s="4" t="s">
        <v>114</v>
      </c>
      <c r="I212" s="4"/>
      <c r="J212" s="4"/>
      <c r="K212" s="4">
        <v>233</v>
      </c>
      <c r="L212" s="4">
        <v>24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06" ht="13" x14ac:dyDescent="0.3">
      <c r="A213" s="4">
        <v>50</v>
      </c>
      <c r="B213" s="4">
        <v>0</v>
      </c>
      <c r="C213" s="4">
        <v>0</v>
      </c>
      <c r="D213" s="4">
        <v>1</v>
      </c>
      <c r="E213" s="4">
        <v>210</v>
      </c>
      <c r="F213" s="4">
        <f>ROUND(Source!X187,O213)</f>
        <v>2581830.92</v>
      </c>
      <c r="G213" s="4" t="s">
        <v>115</v>
      </c>
      <c r="H213" s="4" t="s">
        <v>116</v>
      </c>
      <c r="I213" s="4"/>
      <c r="J213" s="4"/>
      <c r="K213" s="4">
        <v>210</v>
      </c>
      <c r="L213" s="4">
        <v>25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2581830.92</v>
      </c>
      <c r="X213" s="4">
        <v>1</v>
      </c>
      <c r="Y213" s="4">
        <v>2581830.92</v>
      </c>
      <c r="Z213" s="4"/>
      <c r="AA213" s="4"/>
      <c r="AB213" s="4"/>
    </row>
    <row r="214" spans="1:206" ht="13" x14ac:dyDescent="0.3">
      <c r="A214" s="4">
        <v>50</v>
      </c>
      <c r="B214" s="4">
        <v>0</v>
      </c>
      <c r="C214" s="4">
        <v>0</v>
      </c>
      <c r="D214" s="4">
        <v>1</v>
      </c>
      <c r="E214" s="4">
        <v>211</v>
      </c>
      <c r="F214" s="4">
        <f>ROUND(Source!Y187,O214)</f>
        <v>368832.99</v>
      </c>
      <c r="G214" s="4" t="s">
        <v>117</v>
      </c>
      <c r="H214" s="4" t="s">
        <v>118</v>
      </c>
      <c r="I214" s="4"/>
      <c r="J214" s="4"/>
      <c r="K214" s="4">
        <v>211</v>
      </c>
      <c r="L214" s="4">
        <v>26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368832.99</v>
      </c>
      <c r="X214" s="4">
        <v>1</v>
      </c>
      <c r="Y214" s="4">
        <v>368832.99</v>
      </c>
      <c r="Z214" s="4"/>
      <c r="AA214" s="4"/>
      <c r="AB214" s="4"/>
    </row>
    <row r="215" spans="1:206" ht="13" x14ac:dyDescent="0.3">
      <c r="A215" s="4">
        <v>50</v>
      </c>
      <c r="B215" s="4">
        <v>0</v>
      </c>
      <c r="C215" s="4">
        <v>0</v>
      </c>
      <c r="D215" s="4">
        <v>1</v>
      </c>
      <c r="E215" s="4">
        <v>224</v>
      </c>
      <c r="F215" s="4">
        <f>ROUND(Source!AR187,O215)</f>
        <v>20161375.559999999</v>
      </c>
      <c r="G215" s="4" t="s">
        <v>119</v>
      </c>
      <c r="H215" s="4" t="s">
        <v>120</v>
      </c>
      <c r="I215" s="4"/>
      <c r="J215" s="4"/>
      <c r="K215" s="4">
        <v>224</v>
      </c>
      <c r="L215" s="4">
        <v>27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20161375.559999999</v>
      </c>
      <c r="X215" s="4">
        <v>1</v>
      </c>
      <c r="Y215" s="4">
        <v>20161375.559999999</v>
      </c>
      <c r="Z215" s="4"/>
      <c r="AA215" s="4"/>
      <c r="AB215" s="4"/>
    </row>
    <row r="216" spans="1:206" ht="13" x14ac:dyDescent="0.3">
      <c r="A216" s="4">
        <v>50</v>
      </c>
      <c r="B216" s="4">
        <v>1</v>
      </c>
      <c r="C216" s="4">
        <v>0</v>
      </c>
      <c r="D216" s="4">
        <v>2</v>
      </c>
      <c r="E216" s="4">
        <v>0</v>
      </c>
      <c r="F216" s="4">
        <f>ROUND(F215*0.22,O216)</f>
        <v>4435502.62</v>
      </c>
      <c r="G216" s="4" t="s">
        <v>3</v>
      </c>
      <c r="H216" s="4" t="s">
        <v>265</v>
      </c>
      <c r="I216" s="4"/>
      <c r="J216" s="4"/>
      <c r="K216" s="4">
        <v>212</v>
      </c>
      <c r="L216" s="4">
        <v>28</v>
      </c>
      <c r="M216" s="4">
        <v>0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4032275.11</v>
      </c>
      <c r="X216" s="4">
        <v>1</v>
      </c>
      <c r="Y216" s="4">
        <v>4032275.11</v>
      </c>
      <c r="Z216" s="4"/>
      <c r="AA216" s="4"/>
      <c r="AB216" s="4"/>
    </row>
    <row r="217" spans="1:206" ht="13" x14ac:dyDescent="0.3">
      <c r="A217" s="4">
        <v>50</v>
      </c>
      <c r="B217" s="4">
        <v>1</v>
      </c>
      <c r="C217" s="4">
        <v>0</v>
      </c>
      <c r="D217" s="4">
        <v>2</v>
      </c>
      <c r="E217" s="4">
        <v>0</v>
      </c>
      <c r="F217" s="4">
        <f>ROUND(F215*1.2,O217)</f>
        <v>24193650.670000002</v>
      </c>
      <c r="G217" s="4" t="s">
        <v>3</v>
      </c>
      <c r="H217" s="4" t="s">
        <v>163</v>
      </c>
      <c r="I217" s="4"/>
      <c r="J217" s="4"/>
      <c r="K217" s="4">
        <v>212</v>
      </c>
      <c r="L217" s="4">
        <v>29</v>
      </c>
      <c r="M217" s="4">
        <v>0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24193650.670000002</v>
      </c>
      <c r="X217" s="4">
        <v>1</v>
      </c>
      <c r="Y217" s="4">
        <v>24193650.670000002</v>
      </c>
      <c r="Z217" s="4"/>
      <c r="AA217" s="4"/>
      <c r="AB217" s="4"/>
    </row>
    <row r="219" spans="1:206" ht="13" x14ac:dyDescent="0.3">
      <c r="A219" s="2">
        <v>51</v>
      </c>
      <c r="B219" s="2">
        <f>B12</f>
        <v>255</v>
      </c>
      <c r="C219" s="2">
        <f>A12</f>
        <v>1</v>
      </c>
      <c r="D219" s="2">
        <f>ROW(A12)</f>
        <v>12</v>
      </c>
      <c r="E219" s="2"/>
      <c r="F219" s="2" t="str">
        <f>IF(F12&lt;&gt;"",F12,"")</f>
        <v>Новый объект</v>
      </c>
      <c r="G219" s="2" t="str">
        <f>IF(G12&lt;&gt;"",G12,"")</f>
        <v>Зона 5</v>
      </c>
      <c r="H219" s="2">
        <v>0</v>
      </c>
      <c r="I219" s="2"/>
      <c r="J219" s="2"/>
      <c r="K219" s="2"/>
      <c r="L219" s="2"/>
      <c r="M219" s="2"/>
      <c r="N219" s="2"/>
      <c r="O219" s="2">
        <f t="shared" ref="O219:T219" si="122">ROUND(O187,2)</f>
        <v>13085247.08</v>
      </c>
      <c r="P219" s="2">
        <f t="shared" si="122"/>
        <v>1135958.33</v>
      </c>
      <c r="Q219" s="2">
        <f t="shared" si="122"/>
        <v>8260958.8700000001</v>
      </c>
      <c r="R219" s="2">
        <f t="shared" si="122"/>
        <v>3819874.61</v>
      </c>
      <c r="S219" s="2">
        <f t="shared" si="122"/>
        <v>3688329.88</v>
      </c>
      <c r="T219" s="2">
        <f t="shared" si="122"/>
        <v>0</v>
      </c>
      <c r="U219" s="2">
        <f>U187</f>
        <v>8113.1335250000011</v>
      </c>
      <c r="V219" s="2">
        <f>V187</f>
        <v>0</v>
      </c>
      <c r="W219" s="2">
        <f>ROUND(W187,2)</f>
        <v>0</v>
      </c>
      <c r="X219" s="2">
        <f>ROUND(X187,2)</f>
        <v>2581830.92</v>
      </c>
      <c r="Y219" s="2">
        <f>ROUND(Y187,2)</f>
        <v>368832.99</v>
      </c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>
        <f t="shared" ref="AO219:BD219" si="123">ROUND(AO187,2)</f>
        <v>0</v>
      </c>
      <c r="AP219" s="2">
        <f t="shared" si="123"/>
        <v>0</v>
      </c>
      <c r="AQ219" s="2">
        <f t="shared" si="123"/>
        <v>0</v>
      </c>
      <c r="AR219" s="2">
        <f t="shared" si="123"/>
        <v>20161375.559999999</v>
      </c>
      <c r="AS219" s="2">
        <f t="shared" si="123"/>
        <v>0</v>
      </c>
      <c r="AT219" s="2">
        <f t="shared" si="123"/>
        <v>0</v>
      </c>
      <c r="AU219" s="2">
        <f t="shared" si="123"/>
        <v>20161375.559999999</v>
      </c>
      <c r="AV219" s="2">
        <f t="shared" si="123"/>
        <v>1135958.33</v>
      </c>
      <c r="AW219" s="2">
        <f t="shared" si="123"/>
        <v>1135958.33</v>
      </c>
      <c r="AX219" s="2">
        <f t="shared" si="123"/>
        <v>0</v>
      </c>
      <c r="AY219" s="2">
        <f t="shared" si="123"/>
        <v>1135958.33</v>
      </c>
      <c r="AZ219" s="2">
        <f t="shared" si="123"/>
        <v>0</v>
      </c>
      <c r="BA219" s="2">
        <f t="shared" si="123"/>
        <v>0</v>
      </c>
      <c r="BB219" s="2">
        <f t="shared" si="123"/>
        <v>0</v>
      </c>
      <c r="BC219" s="2">
        <f t="shared" si="123"/>
        <v>0</v>
      </c>
      <c r="BD219" s="2">
        <f t="shared" si="123"/>
        <v>0</v>
      </c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3"/>
      <c r="DH219" s="3"/>
      <c r="DI219" s="3"/>
      <c r="DJ219" s="3"/>
      <c r="DK219" s="3"/>
      <c r="DL219" s="3"/>
      <c r="DM219" s="3"/>
      <c r="DN219" s="3"/>
      <c r="DO219" s="3"/>
      <c r="DP219" s="3"/>
      <c r="DQ219" s="3"/>
      <c r="DR219" s="3"/>
      <c r="DS219" s="3"/>
      <c r="DT219" s="3"/>
      <c r="DU219" s="3"/>
      <c r="DV219" s="3"/>
      <c r="DW219" s="3"/>
      <c r="DX219" s="3"/>
      <c r="DY219" s="3"/>
      <c r="DZ219" s="3"/>
      <c r="EA219" s="3"/>
      <c r="EB219" s="3"/>
      <c r="EC219" s="3"/>
      <c r="ED219" s="3"/>
      <c r="EE219" s="3"/>
      <c r="EF219" s="3"/>
      <c r="EG219" s="3"/>
      <c r="EH219" s="3"/>
      <c r="EI219" s="3"/>
      <c r="EJ219" s="3"/>
      <c r="EK219" s="3"/>
      <c r="EL219" s="3"/>
      <c r="EM219" s="3"/>
      <c r="EN219" s="3"/>
      <c r="EO219" s="3"/>
      <c r="EP219" s="3"/>
      <c r="EQ219" s="3"/>
      <c r="ER219" s="3"/>
      <c r="ES219" s="3"/>
      <c r="ET219" s="3"/>
      <c r="EU219" s="3"/>
      <c r="EV219" s="3"/>
      <c r="EW219" s="3"/>
      <c r="EX219" s="3"/>
      <c r="EY219" s="3"/>
      <c r="EZ219" s="3"/>
      <c r="FA219" s="3"/>
      <c r="FB219" s="3"/>
      <c r="FC219" s="3"/>
      <c r="FD219" s="3"/>
      <c r="FE219" s="3"/>
      <c r="FF219" s="3"/>
      <c r="FG219" s="3"/>
      <c r="FH219" s="3"/>
      <c r="FI219" s="3"/>
      <c r="FJ219" s="3"/>
      <c r="FK219" s="3"/>
      <c r="FL219" s="3"/>
      <c r="FM219" s="3"/>
      <c r="FN219" s="3"/>
      <c r="FO219" s="3"/>
      <c r="FP219" s="3"/>
      <c r="FQ219" s="3"/>
      <c r="FR219" s="3"/>
      <c r="FS219" s="3"/>
      <c r="FT219" s="3"/>
      <c r="FU219" s="3"/>
      <c r="FV219" s="3"/>
      <c r="FW219" s="3"/>
      <c r="FX219" s="3"/>
      <c r="FY219" s="3"/>
      <c r="FZ219" s="3"/>
      <c r="GA219" s="3"/>
      <c r="GB219" s="3"/>
      <c r="GC219" s="3"/>
      <c r="GD219" s="3"/>
      <c r="GE219" s="3"/>
      <c r="GF219" s="3"/>
      <c r="GG219" s="3"/>
      <c r="GH219" s="3"/>
      <c r="GI219" s="3"/>
      <c r="GJ219" s="3"/>
      <c r="GK219" s="3"/>
      <c r="GL219" s="3"/>
      <c r="GM219" s="3"/>
      <c r="GN219" s="3"/>
      <c r="GO219" s="3"/>
      <c r="GP219" s="3"/>
      <c r="GQ219" s="3"/>
      <c r="GR219" s="3"/>
      <c r="GS219" s="3"/>
      <c r="GT219" s="3"/>
      <c r="GU219" s="3"/>
      <c r="GV219" s="3"/>
      <c r="GW219" s="3"/>
      <c r="GX219" s="3">
        <v>0</v>
      </c>
    </row>
    <row r="221" spans="1:206" ht="13" x14ac:dyDescent="0.3">
      <c r="A221" s="4">
        <v>50</v>
      </c>
      <c r="B221" s="4">
        <v>0</v>
      </c>
      <c r="C221" s="4">
        <v>0</v>
      </c>
      <c r="D221" s="4">
        <v>1</v>
      </c>
      <c r="E221" s="4">
        <v>201</v>
      </c>
      <c r="F221" s="4">
        <f>ROUND(Source!O219,O221)</f>
        <v>13085247.08</v>
      </c>
      <c r="G221" s="4" t="s">
        <v>67</v>
      </c>
      <c r="H221" s="4" t="s">
        <v>68</v>
      </c>
      <c r="I221" s="4"/>
      <c r="J221" s="4"/>
      <c r="K221" s="4">
        <v>201</v>
      </c>
      <c r="L221" s="4">
        <v>1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1286519.03</v>
      </c>
      <c r="X221" s="4">
        <v>1</v>
      </c>
      <c r="Y221" s="4">
        <v>1286519.03</v>
      </c>
      <c r="Z221" s="4"/>
      <c r="AA221" s="4"/>
      <c r="AB221" s="4"/>
    </row>
    <row r="222" spans="1:206" ht="13" x14ac:dyDescent="0.3">
      <c r="A222" s="4">
        <v>50</v>
      </c>
      <c r="B222" s="4">
        <v>0</v>
      </c>
      <c r="C222" s="4">
        <v>0</v>
      </c>
      <c r="D222" s="4">
        <v>1</v>
      </c>
      <c r="E222" s="4">
        <v>202</v>
      </c>
      <c r="F222" s="4">
        <f>ROUND(Source!P219,O222)</f>
        <v>1135958.33</v>
      </c>
      <c r="G222" s="4" t="s">
        <v>69</v>
      </c>
      <c r="H222" s="4" t="s">
        <v>70</v>
      </c>
      <c r="I222" s="4"/>
      <c r="J222" s="4"/>
      <c r="K222" s="4">
        <v>202</v>
      </c>
      <c r="L222" s="4">
        <v>2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8209.32</v>
      </c>
      <c r="X222" s="4">
        <v>1</v>
      </c>
      <c r="Y222" s="4">
        <v>8209.32</v>
      </c>
      <c r="Z222" s="4"/>
      <c r="AA222" s="4"/>
      <c r="AB222" s="4"/>
    </row>
    <row r="223" spans="1:206" ht="13" x14ac:dyDescent="0.3">
      <c r="A223" s="4">
        <v>50</v>
      </c>
      <c r="B223" s="4">
        <v>0</v>
      </c>
      <c r="C223" s="4">
        <v>0</v>
      </c>
      <c r="D223" s="4">
        <v>1</v>
      </c>
      <c r="E223" s="4">
        <v>222</v>
      </c>
      <c r="F223" s="4">
        <f>ROUND(Source!AO219,O223)</f>
        <v>0</v>
      </c>
      <c r="G223" s="4" t="s">
        <v>71</v>
      </c>
      <c r="H223" s="4" t="s">
        <v>72</v>
      </c>
      <c r="I223" s="4"/>
      <c r="J223" s="4"/>
      <c r="K223" s="4">
        <v>222</v>
      </c>
      <c r="L223" s="4">
        <v>3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0</v>
      </c>
      <c r="X223" s="4">
        <v>1</v>
      </c>
      <c r="Y223" s="4">
        <v>0</v>
      </c>
      <c r="Z223" s="4"/>
      <c r="AA223" s="4"/>
      <c r="AB223" s="4"/>
    </row>
    <row r="224" spans="1:206" ht="13" x14ac:dyDescent="0.3">
      <c r="A224" s="4">
        <v>50</v>
      </c>
      <c r="B224" s="4">
        <v>0</v>
      </c>
      <c r="C224" s="4">
        <v>0</v>
      </c>
      <c r="D224" s="4">
        <v>1</v>
      </c>
      <c r="E224" s="4">
        <v>225</v>
      </c>
      <c r="F224" s="4">
        <f>ROUND(Source!AV219,O224)</f>
        <v>1135958.33</v>
      </c>
      <c r="G224" s="4" t="s">
        <v>73</v>
      </c>
      <c r="H224" s="4" t="s">
        <v>74</v>
      </c>
      <c r="I224" s="4"/>
      <c r="J224" s="4"/>
      <c r="K224" s="4">
        <v>225</v>
      </c>
      <c r="L224" s="4">
        <v>4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8209.32</v>
      </c>
      <c r="X224" s="4">
        <v>1</v>
      </c>
      <c r="Y224" s="4">
        <v>8209.32</v>
      </c>
      <c r="Z224" s="4"/>
      <c r="AA224" s="4"/>
      <c r="AB224" s="4"/>
    </row>
    <row r="225" spans="1:28" ht="13" x14ac:dyDescent="0.3">
      <c r="A225" s="4">
        <v>50</v>
      </c>
      <c r="B225" s="4">
        <v>0</v>
      </c>
      <c r="C225" s="4">
        <v>0</v>
      </c>
      <c r="D225" s="4">
        <v>1</v>
      </c>
      <c r="E225" s="4">
        <v>226</v>
      </c>
      <c r="F225" s="4">
        <f>ROUND(Source!AW219,O225)</f>
        <v>1135958.33</v>
      </c>
      <c r="G225" s="4" t="s">
        <v>75</v>
      </c>
      <c r="H225" s="4" t="s">
        <v>76</v>
      </c>
      <c r="I225" s="4"/>
      <c r="J225" s="4"/>
      <c r="K225" s="4">
        <v>226</v>
      </c>
      <c r="L225" s="4">
        <v>5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8209.32</v>
      </c>
      <c r="X225" s="4">
        <v>1</v>
      </c>
      <c r="Y225" s="4">
        <v>8209.32</v>
      </c>
      <c r="Z225" s="4"/>
      <c r="AA225" s="4"/>
      <c r="AB225" s="4"/>
    </row>
    <row r="226" spans="1:28" ht="13" x14ac:dyDescent="0.3">
      <c r="A226" s="4">
        <v>50</v>
      </c>
      <c r="B226" s="4">
        <v>0</v>
      </c>
      <c r="C226" s="4">
        <v>0</v>
      </c>
      <c r="D226" s="4">
        <v>1</v>
      </c>
      <c r="E226" s="4">
        <v>227</v>
      </c>
      <c r="F226" s="4">
        <f>ROUND(Source!AX219,O226)</f>
        <v>0</v>
      </c>
      <c r="G226" s="4" t="s">
        <v>77</v>
      </c>
      <c r="H226" s="4" t="s">
        <v>78</v>
      </c>
      <c r="I226" s="4"/>
      <c r="J226" s="4"/>
      <c r="K226" s="4">
        <v>227</v>
      </c>
      <c r="L226" s="4">
        <v>6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8" ht="13" x14ac:dyDescent="0.3">
      <c r="A227" s="4">
        <v>50</v>
      </c>
      <c r="B227" s="4">
        <v>0</v>
      </c>
      <c r="C227" s="4">
        <v>0</v>
      </c>
      <c r="D227" s="4">
        <v>1</v>
      </c>
      <c r="E227" s="4">
        <v>228</v>
      </c>
      <c r="F227" s="4">
        <f>ROUND(Source!AY219,O227)</f>
        <v>1135958.33</v>
      </c>
      <c r="G227" s="4" t="s">
        <v>79</v>
      </c>
      <c r="H227" s="4" t="s">
        <v>80</v>
      </c>
      <c r="I227" s="4"/>
      <c r="J227" s="4"/>
      <c r="K227" s="4">
        <v>228</v>
      </c>
      <c r="L227" s="4">
        <v>7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8209.32</v>
      </c>
      <c r="X227" s="4">
        <v>1</v>
      </c>
      <c r="Y227" s="4">
        <v>8209.32</v>
      </c>
      <c r="Z227" s="4"/>
      <c r="AA227" s="4"/>
      <c r="AB227" s="4"/>
    </row>
    <row r="228" spans="1:28" ht="13" x14ac:dyDescent="0.3">
      <c r="A228" s="4">
        <v>50</v>
      </c>
      <c r="B228" s="4">
        <v>0</v>
      </c>
      <c r="C228" s="4">
        <v>0</v>
      </c>
      <c r="D228" s="4">
        <v>1</v>
      </c>
      <c r="E228" s="4">
        <v>216</v>
      </c>
      <c r="F228" s="4">
        <f>ROUND(Source!AP219,O228)</f>
        <v>0</v>
      </c>
      <c r="G228" s="4" t="s">
        <v>81</v>
      </c>
      <c r="H228" s="4" t="s">
        <v>82</v>
      </c>
      <c r="I228" s="4"/>
      <c r="J228" s="4"/>
      <c r="K228" s="4">
        <v>216</v>
      </c>
      <c r="L228" s="4">
        <v>8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0</v>
      </c>
      <c r="X228" s="4">
        <v>1</v>
      </c>
      <c r="Y228" s="4">
        <v>0</v>
      </c>
      <c r="Z228" s="4"/>
      <c r="AA228" s="4"/>
      <c r="AB228" s="4"/>
    </row>
    <row r="229" spans="1:28" ht="13" x14ac:dyDescent="0.3">
      <c r="A229" s="4">
        <v>50</v>
      </c>
      <c r="B229" s="4">
        <v>0</v>
      </c>
      <c r="C229" s="4">
        <v>0</v>
      </c>
      <c r="D229" s="4">
        <v>1</v>
      </c>
      <c r="E229" s="4">
        <v>223</v>
      </c>
      <c r="F229" s="4">
        <f>ROUND(Source!AQ219,O229)</f>
        <v>0</v>
      </c>
      <c r="G229" s="4" t="s">
        <v>83</v>
      </c>
      <c r="H229" s="4" t="s">
        <v>84</v>
      </c>
      <c r="I229" s="4"/>
      <c r="J229" s="4"/>
      <c r="K229" s="4">
        <v>223</v>
      </c>
      <c r="L229" s="4">
        <v>9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0</v>
      </c>
      <c r="X229" s="4">
        <v>1</v>
      </c>
      <c r="Y229" s="4">
        <v>0</v>
      </c>
      <c r="Z229" s="4"/>
      <c r="AA229" s="4"/>
      <c r="AB229" s="4"/>
    </row>
    <row r="230" spans="1:28" ht="13" x14ac:dyDescent="0.3">
      <c r="A230" s="4">
        <v>50</v>
      </c>
      <c r="B230" s="4">
        <v>0</v>
      </c>
      <c r="C230" s="4">
        <v>0</v>
      </c>
      <c r="D230" s="4">
        <v>1</v>
      </c>
      <c r="E230" s="4">
        <v>229</v>
      </c>
      <c r="F230" s="4">
        <f>ROUND(Source!AZ219,O230)</f>
        <v>0</v>
      </c>
      <c r="G230" s="4" t="s">
        <v>85</v>
      </c>
      <c r="H230" s="4" t="s">
        <v>86</v>
      </c>
      <c r="I230" s="4"/>
      <c r="J230" s="4"/>
      <c r="K230" s="4">
        <v>229</v>
      </c>
      <c r="L230" s="4">
        <v>10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0</v>
      </c>
      <c r="X230" s="4">
        <v>1</v>
      </c>
      <c r="Y230" s="4">
        <v>0</v>
      </c>
      <c r="Z230" s="4"/>
      <c r="AA230" s="4"/>
      <c r="AB230" s="4"/>
    </row>
    <row r="231" spans="1:28" ht="13" x14ac:dyDescent="0.3">
      <c r="A231" s="4">
        <v>50</v>
      </c>
      <c r="B231" s="4">
        <v>0</v>
      </c>
      <c r="C231" s="4">
        <v>0</v>
      </c>
      <c r="D231" s="4">
        <v>1</v>
      </c>
      <c r="E231" s="4">
        <v>203</v>
      </c>
      <c r="F231" s="4">
        <f>ROUND(Source!Q219,O231)</f>
        <v>8260958.8700000001</v>
      </c>
      <c r="G231" s="4" t="s">
        <v>87</v>
      </c>
      <c r="H231" s="4" t="s">
        <v>88</v>
      </c>
      <c r="I231" s="4"/>
      <c r="J231" s="4"/>
      <c r="K231" s="4">
        <v>203</v>
      </c>
      <c r="L231" s="4">
        <v>11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55396.68</v>
      </c>
      <c r="X231" s="4">
        <v>1</v>
      </c>
      <c r="Y231" s="4">
        <v>55396.68</v>
      </c>
      <c r="Z231" s="4"/>
      <c r="AA231" s="4"/>
      <c r="AB231" s="4"/>
    </row>
    <row r="232" spans="1:28" ht="13" x14ac:dyDescent="0.3">
      <c r="A232" s="4">
        <v>50</v>
      </c>
      <c r="B232" s="4">
        <v>0</v>
      </c>
      <c r="C232" s="4">
        <v>0</v>
      </c>
      <c r="D232" s="4">
        <v>1</v>
      </c>
      <c r="E232" s="4">
        <v>231</v>
      </c>
      <c r="F232" s="4">
        <f>ROUND(Source!BB219,O232)</f>
        <v>0</v>
      </c>
      <c r="G232" s="4" t="s">
        <v>89</v>
      </c>
      <c r="H232" s="4" t="s">
        <v>90</v>
      </c>
      <c r="I232" s="4"/>
      <c r="J232" s="4"/>
      <c r="K232" s="4">
        <v>231</v>
      </c>
      <c r="L232" s="4">
        <v>12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0</v>
      </c>
      <c r="X232" s="4">
        <v>1</v>
      </c>
      <c r="Y232" s="4">
        <v>0</v>
      </c>
      <c r="Z232" s="4"/>
      <c r="AA232" s="4"/>
      <c r="AB232" s="4"/>
    </row>
    <row r="233" spans="1:28" ht="13" x14ac:dyDescent="0.3">
      <c r="A233" s="4">
        <v>50</v>
      </c>
      <c r="B233" s="4">
        <v>0</v>
      </c>
      <c r="C233" s="4">
        <v>0</v>
      </c>
      <c r="D233" s="4">
        <v>1</v>
      </c>
      <c r="E233" s="4">
        <v>204</v>
      </c>
      <c r="F233" s="4">
        <f>ROUND(Source!R219,O233)</f>
        <v>3819874.61</v>
      </c>
      <c r="G233" s="4" t="s">
        <v>91</v>
      </c>
      <c r="H233" s="4" t="s">
        <v>92</v>
      </c>
      <c r="I233" s="4"/>
      <c r="J233" s="4"/>
      <c r="K233" s="4">
        <v>204</v>
      </c>
      <c r="L233" s="4">
        <v>13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5575.93</v>
      </c>
      <c r="X233" s="4">
        <v>1</v>
      </c>
      <c r="Y233" s="4">
        <v>5575.93</v>
      </c>
      <c r="Z233" s="4"/>
      <c r="AA233" s="4"/>
      <c r="AB233" s="4"/>
    </row>
    <row r="234" spans="1:28" ht="13" x14ac:dyDescent="0.3">
      <c r="A234" s="4">
        <v>50</v>
      </c>
      <c r="B234" s="4">
        <v>0</v>
      </c>
      <c r="C234" s="4">
        <v>0</v>
      </c>
      <c r="D234" s="4">
        <v>1</v>
      </c>
      <c r="E234" s="4">
        <v>205</v>
      </c>
      <c r="F234" s="4">
        <f>ROUND(Source!S219,O234)</f>
        <v>3688329.88</v>
      </c>
      <c r="G234" s="4" t="s">
        <v>93</v>
      </c>
      <c r="H234" s="4" t="s">
        <v>94</v>
      </c>
      <c r="I234" s="4"/>
      <c r="J234" s="4"/>
      <c r="K234" s="4">
        <v>205</v>
      </c>
      <c r="L234" s="4">
        <v>14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1222913.03</v>
      </c>
      <c r="X234" s="4">
        <v>1</v>
      </c>
      <c r="Y234" s="4">
        <v>1222913.03</v>
      </c>
      <c r="Z234" s="4"/>
      <c r="AA234" s="4"/>
      <c r="AB234" s="4"/>
    </row>
    <row r="235" spans="1:28" ht="13" x14ac:dyDescent="0.3">
      <c r="A235" s="4">
        <v>50</v>
      </c>
      <c r="B235" s="4">
        <v>0</v>
      </c>
      <c r="C235" s="4">
        <v>0</v>
      </c>
      <c r="D235" s="4">
        <v>1</v>
      </c>
      <c r="E235" s="4">
        <v>232</v>
      </c>
      <c r="F235" s="4">
        <f>ROUND(Source!BC219,O235)</f>
        <v>0</v>
      </c>
      <c r="G235" s="4" t="s">
        <v>95</v>
      </c>
      <c r="H235" s="4" t="s">
        <v>96</v>
      </c>
      <c r="I235" s="4"/>
      <c r="J235" s="4"/>
      <c r="K235" s="4">
        <v>232</v>
      </c>
      <c r="L235" s="4">
        <v>15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8" ht="13" x14ac:dyDescent="0.3">
      <c r="A236" s="4">
        <v>50</v>
      </c>
      <c r="B236" s="4">
        <v>0</v>
      </c>
      <c r="C236" s="4">
        <v>0</v>
      </c>
      <c r="D236" s="4">
        <v>1</v>
      </c>
      <c r="E236" s="4">
        <v>214</v>
      </c>
      <c r="F236" s="4">
        <f>ROUND(Source!AS219,O236)</f>
        <v>0</v>
      </c>
      <c r="G236" s="4" t="s">
        <v>97</v>
      </c>
      <c r="H236" s="4" t="s">
        <v>98</v>
      </c>
      <c r="I236" s="4"/>
      <c r="J236" s="4"/>
      <c r="K236" s="4">
        <v>214</v>
      </c>
      <c r="L236" s="4">
        <v>16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0</v>
      </c>
      <c r="X236" s="4">
        <v>1</v>
      </c>
      <c r="Y236" s="4">
        <v>0</v>
      </c>
      <c r="Z236" s="4"/>
      <c r="AA236" s="4"/>
      <c r="AB236" s="4"/>
    </row>
    <row r="237" spans="1:28" ht="13" x14ac:dyDescent="0.3">
      <c r="A237" s="4">
        <v>50</v>
      </c>
      <c r="B237" s="4">
        <v>0</v>
      </c>
      <c r="C237" s="4">
        <v>0</v>
      </c>
      <c r="D237" s="4">
        <v>1</v>
      </c>
      <c r="E237" s="4">
        <v>215</v>
      </c>
      <c r="F237" s="4">
        <f>ROUND(Source!AT219,O237)</f>
        <v>0</v>
      </c>
      <c r="G237" s="4" t="s">
        <v>99</v>
      </c>
      <c r="H237" s="4" t="s">
        <v>100</v>
      </c>
      <c r="I237" s="4"/>
      <c r="J237" s="4"/>
      <c r="K237" s="4">
        <v>215</v>
      </c>
      <c r="L237" s="4">
        <v>17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0</v>
      </c>
      <c r="X237" s="4">
        <v>1</v>
      </c>
      <c r="Y237" s="4">
        <v>0</v>
      </c>
      <c r="Z237" s="4"/>
      <c r="AA237" s="4"/>
      <c r="AB237" s="4"/>
    </row>
    <row r="238" spans="1:28" ht="13" x14ac:dyDescent="0.3">
      <c r="A238" s="4">
        <v>50</v>
      </c>
      <c r="B238" s="4">
        <v>0</v>
      </c>
      <c r="C238" s="4">
        <v>0</v>
      </c>
      <c r="D238" s="4">
        <v>1</v>
      </c>
      <c r="E238" s="4">
        <v>217</v>
      </c>
      <c r="F238" s="4">
        <f>ROUND(Source!AU219,O238)</f>
        <v>20161375.559999999</v>
      </c>
      <c r="G238" s="4" t="s">
        <v>101</v>
      </c>
      <c r="H238" s="4" t="s">
        <v>102</v>
      </c>
      <c r="I238" s="4"/>
      <c r="J238" s="4"/>
      <c r="K238" s="4">
        <v>217</v>
      </c>
      <c r="L238" s="4">
        <v>18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2270871.4500000002</v>
      </c>
      <c r="X238" s="4">
        <v>1</v>
      </c>
      <c r="Y238" s="4">
        <v>2270871.4500000002</v>
      </c>
      <c r="Z238" s="4"/>
      <c r="AA238" s="4"/>
      <c r="AB238" s="4"/>
    </row>
    <row r="239" spans="1:28" ht="13" x14ac:dyDescent="0.3">
      <c r="A239" s="4">
        <v>50</v>
      </c>
      <c r="B239" s="4">
        <v>0</v>
      </c>
      <c r="C239" s="4">
        <v>0</v>
      </c>
      <c r="D239" s="4">
        <v>1</v>
      </c>
      <c r="E239" s="4">
        <v>230</v>
      </c>
      <c r="F239" s="4">
        <f>ROUND(Source!BA219,O239)</f>
        <v>0</v>
      </c>
      <c r="G239" s="4" t="s">
        <v>103</v>
      </c>
      <c r="H239" s="4" t="s">
        <v>104</v>
      </c>
      <c r="I239" s="4"/>
      <c r="J239" s="4"/>
      <c r="K239" s="4">
        <v>230</v>
      </c>
      <c r="L239" s="4">
        <v>19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8" ht="13" x14ac:dyDescent="0.3">
      <c r="A240" s="4">
        <v>50</v>
      </c>
      <c r="B240" s="4">
        <v>0</v>
      </c>
      <c r="C240" s="4">
        <v>0</v>
      </c>
      <c r="D240" s="4">
        <v>1</v>
      </c>
      <c r="E240" s="4">
        <v>206</v>
      </c>
      <c r="F240" s="4">
        <f>ROUND(Source!T219,O240)</f>
        <v>0</v>
      </c>
      <c r="G240" s="4" t="s">
        <v>105</v>
      </c>
      <c r="H240" s="4" t="s">
        <v>106</v>
      </c>
      <c r="I240" s="4"/>
      <c r="J240" s="4"/>
      <c r="K240" s="4">
        <v>206</v>
      </c>
      <c r="L240" s="4">
        <v>20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8" ht="13" x14ac:dyDescent="0.3">
      <c r="A241" s="4">
        <v>50</v>
      </c>
      <c r="B241" s="4">
        <v>0</v>
      </c>
      <c r="C241" s="4">
        <v>0</v>
      </c>
      <c r="D241" s="4">
        <v>1</v>
      </c>
      <c r="E241" s="4">
        <v>207</v>
      </c>
      <c r="F241" s="4">
        <f>Source!U219</f>
        <v>8113.1335250000011</v>
      </c>
      <c r="G241" s="4" t="s">
        <v>107</v>
      </c>
      <c r="H241" s="4" t="s">
        <v>108</v>
      </c>
      <c r="I241" s="4"/>
      <c r="J241" s="4"/>
      <c r="K241" s="4">
        <v>207</v>
      </c>
      <c r="L241" s="4">
        <v>21</v>
      </c>
      <c r="M241" s="4">
        <v>3</v>
      </c>
      <c r="N241" s="4" t="s">
        <v>3</v>
      </c>
      <c r="O241" s="4">
        <v>-1</v>
      </c>
      <c r="P241" s="4"/>
      <c r="Q241" s="4"/>
      <c r="R241" s="4"/>
      <c r="S241" s="4"/>
      <c r="T241" s="4"/>
      <c r="U241" s="4"/>
      <c r="V241" s="4"/>
      <c r="W241" s="4">
        <v>2672.3685600000003</v>
      </c>
      <c r="X241" s="4">
        <v>1</v>
      </c>
      <c r="Y241" s="4">
        <v>2672.3685600000003</v>
      </c>
      <c r="Z241" s="4"/>
      <c r="AA241" s="4"/>
      <c r="AB241" s="4"/>
    </row>
    <row r="242" spans="1:28" ht="13" x14ac:dyDescent="0.3">
      <c r="A242" s="4">
        <v>50</v>
      </c>
      <c r="B242" s="4">
        <v>0</v>
      </c>
      <c r="C242" s="4">
        <v>0</v>
      </c>
      <c r="D242" s="4">
        <v>1</v>
      </c>
      <c r="E242" s="4">
        <v>208</v>
      </c>
      <c r="F242" s="4">
        <f>Source!V219</f>
        <v>0</v>
      </c>
      <c r="G242" s="4" t="s">
        <v>109</v>
      </c>
      <c r="H242" s="4" t="s">
        <v>110</v>
      </c>
      <c r="I242" s="4"/>
      <c r="J242" s="4"/>
      <c r="K242" s="4">
        <v>208</v>
      </c>
      <c r="L242" s="4">
        <v>22</v>
      </c>
      <c r="M242" s="4">
        <v>3</v>
      </c>
      <c r="N242" s="4" t="s">
        <v>3</v>
      </c>
      <c r="O242" s="4">
        <v>-1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ht="13" x14ac:dyDescent="0.3">
      <c r="A243" s="4">
        <v>50</v>
      </c>
      <c r="B243" s="4">
        <v>0</v>
      </c>
      <c r="C243" s="4">
        <v>0</v>
      </c>
      <c r="D243" s="4">
        <v>1</v>
      </c>
      <c r="E243" s="4">
        <v>209</v>
      </c>
      <c r="F243" s="4">
        <f>ROUND(Source!W219,O243)</f>
        <v>0</v>
      </c>
      <c r="G243" s="4" t="s">
        <v>111</v>
      </c>
      <c r="H243" s="4" t="s">
        <v>112</v>
      </c>
      <c r="I243" s="4"/>
      <c r="J243" s="4"/>
      <c r="K243" s="4">
        <v>209</v>
      </c>
      <c r="L243" s="4">
        <v>23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8" ht="13" x14ac:dyDescent="0.3">
      <c r="A244" s="4">
        <v>50</v>
      </c>
      <c r="B244" s="4">
        <v>0</v>
      </c>
      <c r="C244" s="4">
        <v>0</v>
      </c>
      <c r="D244" s="4">
        <v>1</v>
      </c>
      <c r="E244" s="4">
        <v>233</v>
      </c>
      <c r="F244" s="4">
        <f>ROUND(Source!BD219,O244)</f>
        <v>0</v>
      </c>
      <c r="G244" s="4" t="s">
        <v>113</v>
      </c>
      <c r="H244" s="4" t="s">
        <v>114</v>
      </c>
      <c r="I244" s="4"/>
      <c r="J244" s="4"/>
      <c r="K244" s="4">
        <v>233</v>
      </c>
      <c r="L244" s="4">
        <v>24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ht="13" x14ac:dyDescent="0.3">
      <c r="A245" s="4">
        <v>50</v>
      </c>
      <c r="B245" s="4">
        <v>0</v>
      </c>
      <c r="C245" s="4">
        <v>0</v>
      </c>
      <c r="D245" s="4">
        <v>1</v>
      </c>
      <c r="E245" s="4">
        <v>210</v>
      </c>
      <c r="F245" s="4">
        <f>ROUND(Source!X219,O245)</f>
        <v>2581830.92</v>
      </c>
      <c r="G245" s="4" t="s">
        <v>115</v>
      </c>
      <c r="H245" s="4" t="s">
        <v>116</v>
      </c>
      <c r="I245" s="4"/>
      <c r="J245" s="4"/>
      <c r="K245" s="4">
        <v>210</v>
      </c>
      <c r="L245" s="4">
        <v>25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856039.12</v>
      </c>
      <c r="X245" s="4">
        <v>1</v>
      </c>
      <c r="Y245" s="4">
        <v>856039.12</v>
      </c>
      <c r="Z245" s="4"/>
      <c r="AA245" s="4"/>
      <c r="AB245" s="4"/>
    </row>
    <row r="246" spans="1:28" ht="13" x14ac:dyDescent="0.3">
      <c r="A246" s="4">
        <v>50</v>
      </c>
      <c r="B246" s="4">
        <v>0</v>
      </c>
      <c r="C246" s="4">
        <v>0</v>
      </c>
      <c r="D246" s="4">
        <v>1</v>
      </c>
      <c r="E246" s="4">
        <v>211</v>
      </c>
      <c r="F246" s="4">
        <f>ROUND(Source!Y219,O246)</f>
        <v>368832.99</v>
      </c>
      <c r="G246" s="4" t="s">
        <v>117</v>
      </c>
      <c r="H246" s="4" t="s">
        <v>118</v>
      </c>
      <c r="I246" s="4"/>
      <c r="J246" s="4"/>
      <c r="K246" s="4">
        <v>211</v>
      </c>
      <c r="L246" s="4">
        <v>26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122291.3</v>
      </c>
      <c r="X246" s="4">
        <v>1</v>
      </c>
      <c r="Y246" s="4">
        <v>122291.3</v>
      </c>
      <c r="Z246" s="4"/>
      <c r="AA246" s="4"/>
      <c r="AB246" s="4"/>
    </row>
    <row r="247" spans="1:28" ht="13" x14ac:dyDescent="0.3">
      <c r="A247" s="4">
        <v>50</v>
      </c>
      <c r="B247" s="4">
        <v>0</v>
      </c>
      <c r="C247" s="4">
        <v>0</v>
      </c>
      <c r="D247" s="4">
        <v>1</v>
      </c>
      <c r="E247" s="4">
        <v>224</v>
      </c>
      <c r="F247" s="4">
        <f>ROUND(Source!AR219,O247)</f>
        <v>20161375.559999999</v>
      </c>
      <c r="G247" s="4" t="s">
        <v>119</v>
      </c>
      <c r="H247" s="4" t="s">
        <v>120</v>
      </c>
      <c r="I247" s="4"/>
      <c r="J247" s="4"/>
      <c r="K247" s="4">
        <v>224</v>
      </c>
      <c r="L247" s="4">
        <v>27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2270871.4500000002</v>
      </c>
      <c r="X247" s="4">
        <v>1</v>
      </c>
      <c r="Y247" s="4">
        <v>2270871.4500000002</v>
      </c>
      <c r="Z247" s="4"/>
      <c r="AA247" s="4"/>
      <c r="AB247" s="4"/>
    </row>
    <row r="248" spans="1:28" ht="13" x14ac:dyDescent="0.3">
      <c r="A248" s="4">
        <v>50</v>
      </c>
      <c r="B248" s="4">
        <v>1</v>
      </c>
      <c r="C248" s="4">
        <v>0</v>
      </c>
      <c r="D248" s="4">
        <v>2</v>
      </c>
      <c r="E248" s="4">
        <v>0</v>
      </c>
      <c r="F248" s="4">
        <f>ROUND(F247,O248)</f>
        <v>20161375.559999999</v>
      </c>
      <c r="G248" s="4" t="s">
        <v>164</v>
      </c>
      <c r="H248" s="4" t="s">
        <v>165</v>
      </c>
      <c r="I248" s="4"/>
      <c r="J248" s="4"/>
      <c r="K248" s="4">
        <v>212</v>
      </c>
      <c r="L248" s="4">
        <v>28</v>
      </c>
      <c r="M248" s="4">
        <v>0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2270871.4500000002</v>
      </c>
      <c r="X248" s="4">
        <v>1</v>
      </c>
      <c r="Y248" s="4">
        <v>2270871.4500000002</v>
      </c>
      <c r="Z248" s="4"/>
      <c r="AA248" s="4"/>
      <c r="AB248" s="4"/>
    </row>
    <row r="249" spans="1:28" ht="13" x14ac:dyDescent="0.3">
      <c r="A249" s="4">
        <v>50</v>
      </c>
      <c r="B249" s="4">
        <v>1</v>
      </c>
      <c r="C249" s="4">
        <v>0</v>
      </c>
      <c r="D249" s="4">
        <v>2</v>
      </c>
      <c r="E249" s="4">
        <v>0</v>
      </c>
      <c r="F249" s="4">
        <f>ROUND(F248*0.22,O249)</f>
        <v>4435502.62</v>
      </c>
      <c r="G249" s="4" t="s">
        <v>166</v>
      </c>
      <c r="H249" s="4" t="s">
        <v>265</v>
      </c>
      <c r="I249" s="4"/>
      <c r="J249" s="4"/>
      <c r="K249" s="4">
        <v>212</v>
      </c>
      <c r="L249" s="4">
        <v>29</v>
      </c>
      <c r="M249" s="4">
        <v>0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454174.29</v>
      </c>
      <c r="X249" s="4">
        <v>1</v>
      </c>
      <c r="Y249" s="4">
        <v>454174.29</v>
      </c>
      <c r="Z249" s="4"/>
      <c r="AA249" s="4"/>
      <c r="AB249" s="4"/>
    </row>
    <row r="250" spans="1:28" ht="13" x14ac:dyDescent="0.3">
      <c r="A250" s="4">
        <v>50</v>
      </c>
      <c r="B250" s="4">
        <v>1</v>
      </c>
      <c r="C250" s="4">
        <v>0</v>
      </c>
      <c r="D250" s="4">
        <v>2</v>
      </c>
      <c r="E250" s="4">
        <v>213</v>
      </c>
      <c r="F250" s="4">
        <f>ROUND(F248+F249,O250)</f>
        <v>24596878.18</v>
      </c>
      <c r="G250" s="4" t="s">
        <v>167</v>
      </c>
      <c r="H250" s="4" t="s">
        <v>119</v>
      </c>
      <c r="I250" s="4"/>
      <c r="J250" s="4"/>
      <c r="K250" s="4">
        <v>212</v>
      </c>
      <c r="L250" s="4">
        <v>30</v>
      </c>
      <c r="M250" s="4">
        <v>0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2725045.74</v>
      </c>
      <c r="X250" s="4">
        <v>1</v>
      </c>
      <c r="Y250" s="4">
        <v>2725045.74</v>
      </c>
      <c r="Z250" s="4"/>
      <c r="AA250" s="4"/>
      <c r="AB250" s="4"/>
    </row>
    <row r="253" spans="1:28" x14ac:dyDescent="0.25">
      <c r="A253">
        <v>-1</v>
      </c>
    </row>
    <row r="255" spans="1:28" ht="13" x14ac:dyDescent="0.3">
      <c r="A255" s="3">
        <v>75</v>
      </c>
      <c r="B255" s="3" t="s">
        <v>168</v>
      </c>
      <c r="C255" s="3">
        <v>2025</v>
      </c>
      <c r="D255" s="3">
        <v>4</v>
      </c>
      <c r="E255" s="3">
        <v>0</v>
      </c>
      <c r="F255" s="3">
        <v>0</v>
      </c>
      <c r="G255" s="3">
        <v>0</v>
      </c>
      <c r="H255" s="3">
        <v>1</v>
      </c>
      <c r="I255" s="3">
        <v>0</v>
      </c>
      <c r="J255" s="3">
        <v>1</v>
      </c>
      <c r="K255" s="3">
        <v>78</v>
      </c>
      <c r="L255" s="3">
        <v>30</v>
      </c>
      <c r="M255" s="3">
        <v>0</v>
      </c>
      <c r="N255" s="3">
        <v>80891843</v>
      </c>
      <c r="O255" s="3">
        <v>1</v>
      </c>
    </row>
    <row r="259" spans="1:5" x14ac:dyDescent="0.25">
      <c r="A259">
        <v>65</v>
      </c>
      <c r="C259">
        <v>1</v>
      </c>
      <c r="D259">
        <v>0</v>
      </c>
      <c r="E259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B4931-9C94-4B8E-AE65-FB986D29153C}">
  <dimension ref="A1:EC54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169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33" ht="13" x14ac:dyDescent="0.3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ht="13" x14ac:dyDescent="0.3">
      <c r="A14" s="1">
        <v>22</v>
      </c>
      <c r="B14" s="1">
        <v>1</v>
      </c>
      <c r="C14" s="1">
        <v>0</v>
      </c>
      <c r="D14" s="1">
        <v>80891843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5">
      <c r="A16" s="5">
        <v>3</v>
      </c>
      <c r="B16" s="5">
        <v>1</v>
      </c>
      <c r="C16" s="5" t="s">
        <v>12</v>
      </c>
      <c r="D16" s="5" t="s">
        <v>13</v>
      </c>
      <c r="E16" s="6">
        <f>ROUND((Source!F204)/1000,2)</f>
        <v>0</v>
      </c>
      <c r="F16" s="6">
        <f>ROUND((Source!F205)/1000,2)</f>
        <v>0</v>
      </c>
      <c r="G16" s="6">
        <f>ROUND((Source!F196)/1000,2)</f>
        <v>0</v>
      </c>
      <c r="H16" s="6">
        <f>ROUND((Source!F206)/1000+(Source!F207)/1000,2)</f>
        <v>20161.38</v>
      </c>
      <c r="I16" s="6">
        <f>E16+F16+G16+H16</f>
        <v>20161.38</v>
      </c>
      <c r="J16" s="6">
        <f>ROUND((Source!F202+Source!F201)/1000,2)</f>
        <v>7508.2</v>
      </c>
      <c r="K16" s="6">
        <v>1294.73</v>
      </c>
      <c r="L16" s="6">
        <v>0</v>
      </c>
      <c r="M16" s="6">
        <v>0</v>
      </c>
      <c r="N16" s="6">
        <f>I16+L16+M16</f>
        <v>20161.38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1286519.03</v>
      </c>
      <c r="AU16" s="6">
        <v>8209.32</v>
      </c>
      <c r="AV16" s="6">
        <v>0</v>
      </c>
      <c r="AW16" s="6">
        <v>0</v>
      </c>
      <c r="AX16" s="6">
        <v>0</v>
      </c>
      <c r="AY16" s="6">
        <v>55396.68</v>
      </c>
      <c r="AZ16" s="6">
        <v>5575.93</v>
      </c>
      <c r="BA16" s="6">
        <v>1222913.03</v>
      </c>
      <c r="BB16" s="6">
        <v>0</v>
      </c>
      <c r="BC16" s="6">
        <v>0</v>
      </c>
      <c r="BD16" s="6">
        <v>2270871.4500000002</v>
      </c>
      <c r="BE16" s="6">
        <v>0</v>
      </c>
      <c r="BF16" s="6">
        <v>2672.3685600000003</v>
      </c>
      <c r="BG16" s="6">
        <v>0</v>
      </c>
      <c r="BH16" s="6">
        <v>0</v>
      </c>
      <c r="BI16" s="6">
        <v>856039.12</v>
      </c>
      <c r="BJ16" s="6">
        <v>122291.3</v>
      </c>
      <c r="BK16" s="6">
        <v>2270871.4500000002</v>
      </c>
    </row>
    <row r="18" spans="1:16" x14ac:dyDescent="0.25">
      <c r="A18">
        <v>51</v>
      </c>
      <c r="E18">
        <v>0</v>
      </c>
      <c r="F18">
        <v>0</v>
      </c>
      <c r="G18">
        <v>0</v>
      </c>
      <c r="H18">
        <v>2270.87</v>
      </c>
      <c r="I18">
        <v>2270.87</v>
      </c>
      <c r="J18">
        <v>1228.49</v>
      </c>
      <c r="K18">
        <v>1294.73</v>
      </c>
      <c r="L18">
        <v>0</v>
      </c>
      <c r="M18">
        <v>0</v>
      </c>
      <c r="N18">
        <v>2270.87</v>
      </c>
    </row>
    <row r="20" spans="1:16" ht="13" x14ac:dyDescent="0.3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1286519.03</v>
      </c>
      <c r="G20" s="4" t="s">
        <v>67</v>
      </c>
      <c r="H20" s="4" t="s">
        <v>68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6" ht="13" x14ac:dyDescent="0.3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8209.32</v>
      </c>
      <c r="G21" s="4" t="s">
        <v>69</v>
      </c>
      <c r="H21" s="4" t="s">
        <v>70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6" ht="13" x14ac:dyDescent="0.3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71</v>
      </c>
      <c r="H22" s="4" t="s">
        <v>72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6" ht="13" x14ac:dyDescent="0.3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8209.32</v>
      </c>
      <c r="G23" s="4" t="s">
        <v>73</v>
      </c>
      <c r="H23" s="4" t="s">
        <v>74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6" ht="13" x14ac:dyDescent="0.3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8209.32</v>
      </c>
      <c r="G24" s="4" t="s">
        <v>75</v>
      </c>
      <c r="H24" s="4" t="s">
        <v>76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6" ht="13" x14ac:dyDescent="0.3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77</v>
      </c>
      <c r="H25" s="4" t="s">
        <v>78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6" ht="13" x14ac:dyDescent="0.3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8209.32</v>
      </c>
      <c r="G26" s="4" t="s">
        <v>79</v>
      </c>
      <c r="H26" s="4" t="s">
        <v>80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6" ht="13" x14ac:dyDescent="0.3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81</v>
      </c>
      <c r="H27" s="4" t="s">
        <v>82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6" ht="13" x14ac:dyDescent="0.3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83</v>
      </c>
      <c r="H28" s="4" t="s">
        <v>84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6" ht="13" x14ac:dyDescent="0.3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85</v>
      </c>
      <c r="H29" s="4" t="s">
        <v>86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6" ht="13" x14ac:dyDescent="0.3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55396.68</v>
      </c>
      <c r="G30" s="4" t="s">
        <v>87</v>
      </c>
      <c r="H30" s="4" t="s">
        <v>88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6" ht="13" x14ac:dyDescent="0.3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89</v>
      </c>
      <c r="H31" s="4" t="s">
        <v>90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6" ht="13" x14ac:dyDescent="0.3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5575.93</v>
      </c>
      <c r="G32" s="4" t="s">
        <v>91</v>
      </c>
      <c r="H32" s="4" t="s">
        <v>92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ht="13" x14ac:dyDescent="0.3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1222913.03</v>
      </c>
      <c r="G33" s="4" t="s">
        <v>93</v>
      </c>
      <c r="H33" s="4" t="s">
        <v>94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ht="13" x14ac:dyDescent="0.3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95</v>
      </c>
      <c r="H34" s="4" t="s">
        <v>96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ht="13" x14ac:dyDescent="0.3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97</v>
      </c>
      <c r="H35" s="4" t="s">
        <v>98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ht="13" x14ac:dyDescent="0.3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99</v>
      </c>
      <c r="H36" s="4" t="s">
        <v>100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ht="13" x14ac:dyDescent="0.3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2270871.4500000002</v>
      </c>
      <c r="G37" s="4" t="s">
        <v>101</v>
      </c>
      <c r="H37" s="4" t="s">
        <v>102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ht="13" x14ac:dyDescent="0.3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103</v>
      </c>
      <c r="H38" s="4" t="s">
        <v>104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ht="13" x14ac:dyDescent="0.3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105</v>
      </c>
      <c r="H39" s="4" t="s">
        <v>106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ht="13" x14ac:dyDescent="0.3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2672.3685600000003</v>
      </c>
      <c r="G40" s="4" t="s">
        <v>107</v>
      </c>
      <c r="H40" s="4" t="s">
        <v>108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ht="13" x14ac:dyDescent="0.3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109</v>
      </c>
      <c r="H41" s="4" t="s">
        <v>110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ht="13" x14ac:dyDescent="0.3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111</v>
      </c>
      <c r="H42" s="4" t="s">
        <v>112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ht="13" x14ac:dyDescent="0.3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113</v>
      </c>
      <c r="H43" s="4" t="s">
        <v>114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ht="13" x14ac:dyDescent="0.3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856039.12</v>
      </c>
      <c r="G44" s="4" t="s">
        <v>115</v>
      </c>
      <c r="H44" s="4" t="s">
        <v>116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ht="13" x14ac:dyDescent="0.3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122291.3</v>
      </c>
      <c r="G45" s="4" t="s">
        <v>117</v>
      </c>
      <c r="H45" s="4" t="s">
        <v>118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ht="13" x14ac:dyDescent="0.3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2270871.4500000002</v>
      </c>
      <c r="G46" s="4" t="s">
        <v>119</v>
      </c>
      <c r="H46" s="4" t="s">
        <v>120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ht="13" x14ac:dyDescent="0.3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2270871.4500000002</v>
      </c>
      <c r="G47" s="4" t="s">
        <v>164</v>
      </c>
      <c r="H47" s="4" t="s">
        <v>165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ht="13" x14ac:dyDescent="0.3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454174.29</v>
      </c>
      <c r="G48" s="4" t="s">
        <v>166</v>
      </c>
      <c r="H48" s="4" t="s">
        <v>162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ht="13" x14ac:dyDescent="0.3">
      <c r="A49" s="4">
        <v>50</v>
      </c>
      <c r="B49" s="4">
        <v>1</v>
      </c>
      <c r="C49" s="4">
        <v>0</v>
      </c>
      <c r="D49" s="4">
        <v>2</v>
      </c>
      <c r="E49" s="4">
        <v>213</v>
      </c>
      <c r="F49" s="4">
        <v>2725045.74</v>
      </c>
      <c r="G49" s="4" t="s">
        <v>167</v>
      </c>
      <c r="H49" s="4" t="s">
        <v>119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5">
      <c r="A51">
        <v>-1</v>
      </c>
    </row>
    <row r="54" spans="1:16" ht="13" x14ac:dyDescent="0.3">
      <c r="A54" s="3">
        <v>75</v>
      </c>
      <c r="B54" s="3" t="s">
        <v>168</v>
      </c>
      <c r="C54" s="3">
        <v>2025</v>
      </c>
      <c r="D54" s="3">
        <v>4</v>
      </c>
      <c r="E54" s="3">
        <v>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80891843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E63EF-381E-408C-BAF7-8CDBBD1C7FE1}">
  <dimension ref="A1:DO37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19" x14ac:dyDescent="0.25">
      <c r="A1">
        <f>ROW(Source!A32)</f>
        <v>32</v>
      </c>
      <c r="B1">
        <v>80891843</v>
      </c>
      <c r="C1">
        <v>80892030</v>
      </c>
      <c r="D1">
        <v>80213220</v>
      </c>
      <c r="E1">
        <v>1</v>
      </c>
      <c r="F1">
        <v>1</v>
      </c>
      <c r="G1">
        <v>15514512</v>
      </c>
      <c r="H1">
        <v>2</v>
      </c>
      <c r="I1" t="s">
        <v>170</v>
      </c>
      <c r="J1" t="s">
        <v>171</v>
      </c>
      <c r="K1" t="s">
        <v>172</v>
      </c>
      <c r="L1">
        <v>1368</v>
      </c>
      <c r="N1">
        <v>1011</v>
      </c>
      <c r="O1" t="s">
        <v>173</v>
      </c>
      <c r="P1" t="s">
        <v>173</v>
      </c>
      <c r="Q1">
        <v>1</v>
      </c>
      <c r="W1">
        <v>0</v>
      </c>
      <c r="X1">
        <v>645985080</v>
      </c>
      <c r="Y1">
        <f>(AT1*20)</f>
        <v>10</v>
      </c>
      <c r="AA1">
        <v>0</v>
      </c>
      <c r="AB1">
        <v>2515.98</v>
      </c>
      <c r="AC1">
        <v>872.98</v>
      </c>
      <c r="AD1">
        <v>0</v>
      </c>
      <c r="AE1">
        <v>0</v>
      </c>
      <c r="AF1">
        <v>2515.98</v>
      </c>
      <c r="AG1">
        <v>872.98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0.5</v>
      </c>
      <c r="AU1" t="s">
        <v>22</v>
      </c>
      <c r="AV1">
        <v>0</v>
      </c>
      <c r="AW1">
        <v>2</v>
      </c>
      <c r="AX1">
        <v>80892223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V1">
        <v>0</v>
      </c>
      <c r="CW1">
        <f>ROUND(Y1*Source!I32*DO1,9)</f>
        <v>0</v>
      </c>
      <c r="CX1">
        <f>ROUND(Y1*Source!I32,9)</f>
        <v>436.54880000000003</v>
      </c>
      <c r="CY1">
        <f>AB1</f>
        <v>2515.98</v>
      </c>
      <c r="CZ1">
        <f>AF1</f>
        <v>2515.98</v>
      </c>
      <c r="DA1">
        <f>AJ1</f>
        <v>1</v>
      </c>
      <c r="DB1">
        <f>ROUND((ROUND(AT1*CZ1,2)*20),6)</f>
        <v>25159.8</v>
      </c>
      <c r="DC1">
        <f>ROUND((ROUND(AT1*AG1,2)*20),6)</f>
        <v>8729.7999999999993</v>
      </c>
      <c r="DD1" t="s">
        <v>3</v>
      </c>
      <c r="DE1" t="s">
        <v>3</v>
      </c>
      <c r="DF1">
        <f t="shared" ref="DF1:DF37" si="0">ROUND(ROUND(AE1,2)*CX1,2)</f>
        <v>0</v>
      </c>
      <c r="DG1">
        <f t="shared" ref="DG1:DG37" si="1">ROUND(ROUND(AF1,2)*CX1,2)</f>
        <v>1098348.05</v>
      </c>
      <c r="DH1">
        <f t="shared" ref="DH1:DH37" si="2">ROUND(ROUND(AG1,2)*CX1,2)</f>
        <v>381098.37</v>
      </c>
      <c r="DI1">
        <f t="shared" ref="DI1:DI37" si="3">ROUND(ROUND(AH1,2)*CX1,2)</f>
        <v>0</v>
      </c>
      <c r="DJ1">
        <f>DG1</f>
        <v>1098348.05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5">
      <c r="A2">
        <f>ROW(Source!A33)</f>
        <v>33</v>
      </c>
      <c r="B2">
        <v>80891843</v>
      </c>
      <c r="C2">
        <v>80892031</v>
      </c>
      <c r="D2">
        <v>80199986</v>
      </c>
      <c r="E2">
        <v>15514512</v>
      </c>
      <c r="F2">
        <v>1</v>
      </c>
      <c r="G2">
        <v>15514512</v>
      </c>
      <c r="H2">
        <v>1</v>
      </c>
      <c r="I2" t="s">
        <v>174</v>
      </c>
      <c r="J2" t="s">
        <v>3</v>
      </c>
      <c r="K2" t="s">
        <v>175</v>
      </c>
      <c r="L2">
        <v>1191</v>
      </c>
      <c r="N2">
        <v>1013</v>
      </c>
      <c r="O2" t="s">
        <v>176</v>
      </c>
      <c r="P2" t="s">
        <v>176</v>
      </c>
      <c r="Q2">
        <v>1</v>
      </c>
      <c r="W2">
        <v>0</v>
      </c>
      <c r="X2">
        <v>476480486</v>
      </c>
      <c r="Y2">
        <f>(AT2*20)</f>
        <v>13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0.65</v>
      </c>
      <c r="AU2" t="s">
        <v>22</v>
      </c>
      <c r="AV2">
        <v>1</v>
      </c>
      <c r="AW2">
        <v>2</v>
      </c>
      <c r="AX2">
        <v>80892224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U2">
        <f>ROUND(AT2*Source!I33*AH2*AL2,2)</f>
        <v>0</v>
      </c>
      <c r="CV2">
        <f>ROUND(Y2*Source!I33,9)</f>
        <v>1418.7836</v>
      </c>
      <c r="CW2">
        <v>0</v>
      </c>
      <c r="CX2">
        <f>ROUND(Y2*Source!I33,9)</f>
        <v>1418.7836</v>
      </c>
      <c r="CY2">
        <f>AD2</f>
        <v>0</v>
      </c>
      <c r="CZ2">
        <f>AH2</f>
        <v>0</v>
      </c>
      <c r="DA2">
        <f>AL2</f>
        <v>1</v>
      </c>
      <c r="DB2">
        <f>ROUND((ROUND(AT2*CZ2,2)*20),6)</f>
        <v>0</v>
      </c>
      <c r="DC2">
        <f>ROUND((ROUND(AT2*AG2,2)*20),6)</f>
        <v>0</v>
      </c>
      <c r="DD2" t="s">
        <v>3</v>
      </c>
      <c r="DE2" t="s">
        <v>3</v>
      </c>
      <c r="DF2">
        <f t="shared" si="0"/>
        <v>0</v>
      </c>
      <c r="DG2">
        <f t="shared" si="1"/>
        <v>0</v>
      </c>
      <c r="DH2">
        <f t="shared" si="2"/>
        <v>0</v>
      </c>
      <c r="DI2">
        <f t="shared" si="3"/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5">
      <c r="A3">
        <f>ROW(Source!A34)</f>
        <v>34</v>
      </c>
      <c r="B3">
        <v>80891843</v>
      </c>
      <c r="C3">
        <v>80892227</v>
      </c>
      <c r="D3">
        <v>80213221</v>
      </c>
      <c r="E3">
        <v>1</v>
      </c>
      <c r="F3">
        <v>1</v>
      </c>
      <c r="G3">
        <v>15514512</v>
      </c>
      <c r="H3">
        <v>2</v>
      </c>
      <c r="I3" t="s">
        <v>177</v>
      </c>
      <c r="J3" t="s">
        <v>178</v>
      </c>
      <c r="K3" t="s">
        <v>179</v>
      </c>
      <c r="L3">
        <v>1368</v>
      </c>
      <c r="N3">
        <v>1011</v>
      </c>
      <c r="O3" t="s">
        <v>173</v>
      </c>
      <c r="P3" t="s">
        <v>173</v>
      </c>
      <c r="Q3">
        <v>1</v>
      </c>
      <c r="W3">
        <v>0</v>
      </c>
      <c r="X3">
        <v>-566548736</v>
      </c>
      <c r="Y3">
        <f>(AT3*50)</f>
        <v>13</v>
      </c>
      <c r="AA3">
        <v>0</v>
      </c>
      <c r="AB3">
        <v>1783.28</v>
      </c>
      <c r="AC3">
        <v>842.87</v>
      </c>
      <c r="AD3">
        <v>0</v>
      </c>
      <c r="AE3">
        <v>0</v>
      </c>
      <c r="AF3">
        <v>1783.28</v>
      </c>
      <c r="AG3">
        <v>842.87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0.26</v>
      </c>
      <c r="AU3" t="s">
        <v>35</v>
      </c>
      <c r="AV3">
        <v>0</v>
      </c>
      <c r="AW3">
        <v>2</v>
      </c>
      <c r="AX3">
        <v>80892230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ROUND(Y3*Source!I34*DO3,9)</f>
        <v>0</v>
      </c>
      <c r="CX3">
        <f>ROUND(Y3*Source!I34,9)</f>
        <v>567.51343999999995</v>
      </c>
      <c r="CY3">
        <f>AB3</f>
        <v>1783.28</v>
      </c>
      <c r="CZ3">
        <f>AF3</f>
        <v>1783.28</v>
      </c>
      <c r="DA3">
        <f>AJ3</f>
        <v>1</v>
      </c>
      <c r="DB3">
        <f>ROUND((ROUND(AT3*CZ3,2)*50),6)</f>
        <v>23182.5</v>
      </c>
      <c r="DC3">
        <f>ROUND((ROUND(AT3*AG3,2)*50),6)</f>
        <v>10957.5</v>
      </c>
      <c r="DD3" t="s">
        <v>3</v>
      </c>
      <c r="DE3" t="s">
        <v>3</v>
      </c>
      <c r="DF3">
        <f t="shared" si="0"/>
        <v>0</v>
      </c>
      <c r="DG3">
        <f t="shared" si="1"/>
        <v>1012035.37</v>
      </c>
      <c r="DH3">
        <f t="shared" si="2"/>
        <v>478340.05</v>
      </c>
      <c r="DI3">
        <f t="shared" si="3"/>
        <v>0</v>
      </c>
      <c r="DJ3">
        <f>DG3</f>
        <v>1012035.37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5">
      <c r="A4">
        <f>ROW(Source!A34)</f>
        <v>34</v>
      </c>
      <c r="B4">
        <v>80891843</v>
      </c>
      <c r="C4">
        <v>80892227</v>
      </c>
      <c r="D4">
        <v>80215470</v>
      </c>
      <c r="E4">
        <v>1</v>
      </c>
      <c r="F4">
        <v>1</v>
      </c>
      <c r="G4">
        <v>15514512</v>
      </c>
      <c r="H4">
        <v>3</v>
      </c>
      <c r="I4" t="s">
        <v>37</v>
      </c>
      <c r="J4" t="s">
        <v>40</v>
      </c>
      <c r="K4" t="s">
        <v>38</v>
      </c>
      <c r="L4">
        <v>1339</v>
      </c>
      <c r="N4">
        <v>1007</v>
      </c>
      <c r="O4" t="s">
        <v>39</v>
      </c>
      <c r="P4" t="s">
        <v>39</v>
      </c>
      <c r="Q4">
        <v>1</v>
      </c>
      <c r="W4">
        <v>1</v>
      </c>
      <c r="X4">
        <v>2112060389</v>
      </c>
      <c r="Y4">
        <f>(AT4*50)</f>
        <v>-10</v>
      </c>
      <c r="AA4">
        <v>54.81</v>
      </c>
      <c r="AB4">
        <v>0</v>
      </c>
      <c r="AC4">
        <v>0</v>
      </c>
      <c r="AD4">
        <v>0</v>
      </c>
      <c r="AE4">
        <v>54.81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-0.2</v>
      </c>
      <c r="AU4" t="s">
        <v>35</v>
      </c>
      <c r="AV4">
        <v>0</v>
      </c>
      <c r="AW4">
        <v>2</v>
      </c>
      <c r="AX4">
        <v>80892231</v>
      </c>
      <c r="AY4">
        <v>1</v>
      </c>
      <c r="AZ4">
        <v>6144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v>0</v>
      </c>
      <c r="CX4">
        <f>ROUND(Y4*Source!I34,9)</f>
        <v>-436.54880000000003</v>
      </c>
      <c r="CY4">
        <f>AA4</f>
        <v>54.81</v>
      </c>
      <c r="CZ4">
        <f>AE4</f>
        <v>54.81</v>
      </c>
      <c r="DA4">
        <f>AI4</f>
        <v>1</v>
      </c>
      <c r="DB4">
        <f>ROUND((ROUND(AT4*CZ4,2)*50),6)</f>
        <v>-548</v>
      </c>
      <c r="DC4">
        <f>ROUND((ROUND(AT4*AG4,2)*50),6)</f>
        <v>0</v>
      </c>
      <c r="DD4" t="s">
        <v>3</v>
      </c>
      <c r="DE4" t="s">
        <v>3</v>
      </c>
      <c r="DF4">
        <f t="shared" si="0"/>
        <v>-23927.24</v>
      </c>
      <c r="DG4">
        <f t="shared" si="1"/>
        <v>0</v>
      </c>
      <c r="DH4">
        <f t="shared" si="2"/>
        <v>0</v>
      </c>
      <c r="DI4">
        <f t="shared" si="3"/>
        <v>0</v>
      </c>
      <c r="DJ4">
        <f>DF4</f>
        <v>-23927.24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5">
      <c r="A5">
        <f>ROW(Source!A36)</f>
        <v>36</v>
      </c>
      <c r="B5">
        <v>80891843</v>
      </c>
      <c r="C5">
        <v>80892033</v>
      </c>
      <c r="D5">
        <v>80199986</v>
      </c>
      <c r="E5">
        <v>15514512</v>
      </c>
      <c r="F5">
        <v>1</v>
      </c>
      <c r="G5">
        <v>15514512</v>
      </c>
      <c r="H5">
        <v>1</v>
      </c>
      <c r="I5" t="s">
        <v>174</v>
      </c>
      <c r="J5" t="s">
        <v>3</v>
      </c>
      <c r="K5" t="s">
        <v>175</v>
      </c>
      <c r="L5">
        <v>1191</v>
      </c>
      <c r="N5">
        <v>1013</v>
      </c>
      <c r="O5" t="s">
        <v>176</v>
      </c>
      <c r="P5" t="s">
        <v>176</v>
      </c>
      <c r="Q5">
        <v>1</v>
      </c>
      <c r="W5">
        <v>0</v>
      </c>
      <c r="X5">
        <v>476480486</v>
      </c>
      <c r="Y5">
        <f>(AT5*50)</f>
        <v>7.0000000000000009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0.14000000000000001</v>
      </c>
      <c r="AU5" t="s">
        <v>35</v>
      </c>
      <c r="AV5">
        <v>1</v>
      </c>
      <c r="AW5">
        <v>2</v>
      </c>
      <c r="AX5">
        <v>80892233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U5">
        <f>ROUND(AT5*Source!I36*AH5*AL5,2)</f>
        <v>0</v>
      </c>
      <c r="CV5">
        <f>ROUND(Y5*Source!I36,9)</f>
        <v>763.96040000000005</v>
      </c>
      <c r="CW5">
        <v>0</v>
      </c>
      <c r="CX5">
        <f>ROUND(Y5*Source!I36,9)</f>
        <v>763.96040000000005</v>
      </c>
      <c r="CY5">
        <f>AD5</f>
        <v>0</v>
      </c>
      <c r="CZ5">
        <f>AH5</f>
        <v>0</v>
      </c>
      <c r="DA5">
        <f>AL5</f>
        <v>1</v>
      </c>
      <c r="DB5">
        <f>ROUND((ROUND(AT5*CZ5,2)*50),6)</f>
        <v>0</v>
      </c>
      <c r="DC5">
        <f>ROUND((ROUND(AT5*AG5,2)*50),6)</f>
        <v>0</v>
      </c>
      <c r="DD5" t="s">
        <v>3</v>
      </c>
      <c r="DE5" t="s">
        <v>3</v>
      </c>
      <c r="DF5">
        <f t="shared" si="0"/>
        <v>0</v>
      </c>
      <c r="DG5">
        <f t="shared" si="1"/>
        <v>0</v>
      </c>
      <c r="DH5">
        <f t="shared" si="2"/>
        <v>0</v>
      </c>
      <c r="DI5">
        <f t="shared" si="3"/>
        <v>0</v>
      </c>
      <c r="DJ5">
        <f>DI5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5">
      <c r="A6">
        <f>ROW(Source!A37)</f>
        <v>37</v>
      </c>
      <c r="B6">
        <v>80891843</v>
      </c>
      <c r="C6">
        <v>80892037</v>
      </c>
      <c r="D6">
        <v>80199986</v>
      </c>
      <c r="E6">
        <v>15514512</v>
      </c>
      <c r="F6">
        <v>1</v>
      </c>
      <c r="G6">
        <v>15514512</v>
      </c>
      <c r="H6">
        <v>1</v>
      </c>
      <c r="I6" t="s">
        <v>174</v>
      </c>
      <c r="J6" t="s">
        <v>3</v>
      </c>
      <c r="K6" t="s">
        <v>175</v>
      </c>
      <c r="L6">
        <v>1191</v>
      </c>
      <c r="N6">
        <v>1013</v>
      </c>
      <c r="O6" t="s">
        <v>176</v>
      </c>
      <c r="P6" t="s">
        <v>176</v>
      </c>
      <c r="Q6">
        <v>1</v>
      </c>
      <c r="W6">
        <v>0</v>
      </c>
      <c r="X6">
        <v>476480486</v>
      </c>
      <c r="Y6">
        <f>(AT6*15)</f>
        <v>4.5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0.3</v>
      </c>
      <c r="AU6" t="s">
        <v>49</v>
      </c>
      <c r="AV6">
        <v>1</v>
      </c>
      <c r="AW6">
        <v>2</v>
      </c>
      <c r="AX6">
        <v>80892234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U6">
        <f>ROUND(AT6*Source!I37*AH6*AL6,2)</f>
        <v>0</v>
      </c>
      <c r="CV6">
        <f>ROUND(Y6*Source!I37,9)</f>
        <v>491.11739999999998</v>
      </c>
      <c r="CW6">
        <v>0</v>
      </c>
      <c r="CX6">
        <f>ROUND(Y6*Source!I37,9)</f>
        <v>491.11739999999998</v>
      </c>
      <c r="CY6">
        <f>AD6</f>
        <v>0</v>
      </c>
      <c r="CZ6">
        <f>AH6</f>
        <v>0</v>
      </c>
      <c r="DA6">
        <f>AL6</f>
        <v>1</v>
      </c>
      <c r="DB6">
        <f>ROUND((ROUND(AT6*CZ6,2)*15),6)</f>
        <v>0</v>
      </c>
      <c r="DC6">
        <f>ROUND((ROUND(AT6*AG6,2)*15),6)</f>
        <v>0</v>
      </c>
      <c r="DD6" t="s">
        <v>3</v>
      </c>
      <c r="DE6" t="s">
        <v>3</v>
      </c>
      <c r="DF6">
        <f t="shared" si="0"/>
        <v>0</v>
      </c>
      <c r="DG6">
        <f t="shared" si="1"/>
        <v>0</v>
      </c>
      <c r="DH6">
        <f t="shared" si="2"/>
        <v>0</v>
      </c>
      <c r="DI6">
        <f t="shared" si="3"/>
        <v>0</v>
      </c>
      <c r="DJ6">
        <f>DI6</f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5">
      <c r="A7">
        <f>ROW(Source!A37)</f>
        <v>37</v>
      </c>
      <c r="B7">
        <v>80891843</v>
      </c>
      <c r="C7">
        <v>80892037</v>
      </c>
      <c r="D7">
        <v>80216195</v>
      </c>
      <c r="E7">
        <v>1</v>
      </c>
      <c r="F7">
        <v>1</v>
      </c>
      <c r="G7">
        <v>15514512</v>
      </c>
      <c r="H7">
        <v>3</v>
      </c>
      <c r="I7" t="s">
        <v>180</v>
      </c>
      <c r="J7" t="s">
        <v>181</v>
      </c>
      <c r="K7" t="s">
        <v>182</v>
      </c>
      <c r="L7">
        <v>1346</v>
      </c>
      <c r="N7">
        <v>1009</v>
      </c>
      <c r="O7" t="s">
        <v>160</v>
      </c>
      <c r="P7" t="s">
        <v>160</v>
      </c>
      <c r="Q7">
        <v>1</v>
      </c>
      <c r="W7">
        <v>0</v>
      </c>
      <c r="X7">
        <v>-584861322</v>
      </c>
      <c r="Y7">
        <f>(AT7*15)</f>
        <v>75</v>
      </c>
      <c r="AA7">
        <v>27.3</v>
      </c>
      <c r="AB7">
        <v>0</v>
      </c>
      <c r="AC7">
        <v>0</v>
      </c>
      <c r="AD7">
        <v>0</v>
      </c>
      <c r="AE7">
        <v>27.3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5</v>
      </c>
      <c r="AU7" t="s">
        <v>49</v>
      </c>
      <c r="AV7">
        <v>0</v>
      </c>
      <c r="AW7">
        <v>2</v>
      </c>
      <c r="AX7">
        <v>80892235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ROUND(Y7*Source!I37,9)</f>
        <v>8185.29</v>
      </c>
      <c r="CY7">
        <f>AA7</f>
        <v>27.3</v>
      </c>
      <c r="CZ7">
        <f>AE7</f>
        <v>27.3</v>
      </c>
      <c r="DA7">
        <f>AI7</f>
        <v>1</v>
      </c>
      <c r="DB7">
        <f>ROUND((ROUND(AT7*CZ7,2)*15),6)</f>
        <v>2047.5</v>
      </c>
      <c r="DC7">
        <f>ROUND((ROUND(AT7*AG7,2)*15),6)</f>
        <v>0</v>
      </c>
      <c r="DD7" t="s">
        <v>3</v>
      </c>
      <c r="DE7" t="s">
        <v>3</v>
      </c>
      <c r="DF7">
        <f t="shared" si="0"/>
        <v>223458.42</v>
      </c>
      <c r="DG7">
        <f t="shared" si="1"/>
        <v>0</v>
      </c>
      <c r="DH7">
        <f t="shared" si="2"/>
        <v>0</v>
      </c>
      <c r="DI7">
        <f t="shared" si="3"/>
        <v>0</v>
      </c>
      <c r="DJ7">
        <f>DF7</f>
        <v>223458.42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5">
      <c r="A8">
        <f>ROW(Source!A38)</f>
        <v>38</v>
      </c>
      <c r="B8">
        <v>80891843</v>
      </c>
      <c r="C8">
        <v>80892038</v>
      </c>
      <c r="D8">
        <v>80199986</v>
      </c>
      <c r="E8">
        <v>15514512</v>
      </c>
      <c r="F8">
        <v>1</v>
      </c>
      <c r="G8">
        <v>15514512</v>
      </c>
      <c r="H8">
        <v>1</v>
      </c>
      <c r="I8" t="s">
        <v>174</v>
      </c>
      <c r="J8" t="s">
        <v>3</v>
      </c>
      <c r="K8" t="s">
        <v>175</v>
      </c>
      <c r="L8">
        <v>1191</v>
      </c>
      <c r="N8">
        <v>1013</v>
      </c>
      <c r="O8" t="s">
        <v>176</v>
      </c>
      <c r="P8" t="s">
        <v>176</v>
      </c>
      <c r="Q8">
        <v>1</v>
      </c>
      <c r="W8">
        <v>0</v>
      </c>
      <c r="X8">
        <v>476480486</v>
      </c>
      <c r="Y8">
        <f>(AT8*15)</f>
        <v>0.3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0.02</v>
      </c>
      <c r="AU8" t="s">
        <v>49</v>
      </c>
      <c r="AV8">
        <v>1</v>
      </c>
      <c r="AW8">
        <v>2</v>
      </c>
      <c r="AX8">
        <v>80892236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U8">
        <f>ROUND(AT8*Source!I38*AH8*AL8,2)</f>
        <v>0</v>
      </c>
      <c r="CV8">
        <f>ROUND(Y8*Source!I38,9)</f>
        <v>13.096463999999999</v>
      </c>
      <c r="CW8">
        <v>0</v>
      </c>
      <c r="CX8">
        <f>ROUND(Y8*Source!I38,9)</f>
        <v>13.096463999999999</v>
      </c>
      <c r="CY8">
        <f>AD8</f>
        <v>0</v>
      </c>
      <c r="CZ8">
        <f>AH8</f>
        <v>0</v>
      </c>
      <c r="DA8">
        <f>AL8</f>
        <v>1</v>
      </c>
      <c r="DB8">
        <f>ROUND((ROUND(AT8*CZ8,2)*15),6)</f>
        <v>0</v>
      </c>
      <c r="DC8">
        <f>ROUND((ROUND(AT8*AG8,2)*15),6)</f>
        <v>0</v>
      </c>
      <c r="DD8" t="s">
        <v>3</v>
      </c>
      <c r="DE8" t="s">
        <v>3</v>
      </c>
      <c r="DF8">
        <f t="shared" si="0"/>
        <v>0</v>
      </c>
      <c r="DG8">
        <f t="shared" si="1"/>
        <v>0</v>
      </c>
      <c r="DH8">
        <f t="shared" si="2"/>
        <v>0</v>
      </c>
      <c r="DI8">
        <f t="shared" si="3"/>
        <v>0</v>
      </c>
      <c r="DJ8">
        <f>DI8</f>
        <v>0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5">
      <c r="A9">
        <f>ROW(Source!A38)</f>
        <v>38</v>
      </c>
      <c r="B9">
        <v>80891843</v>
      </c>
      <c r="C9">
        <v>80892038</v>
      </c>
      <c r="D9">
        <v>80213219</v>
      </c>
      <c r="E9">
        <v>1</v>
      </c>
      <c r="F9">
        <v>1</v>
      </c>
      <c r="G9">
        <v>15514512</v>
      </c>
      <c r="H9">
        <v>2</v>
      </c>
      <c r="I9" t="s">
        <v>183</v>
      </c>
      <c r="J9" t="s">
        <v>184</v>
      </c>
      <c r="K9" t="s">
        <v>185</v>
      </c>
      <c r="L9">
        <v>1368</v>
      </c>
      <c r="N9">
        <v>1011</v>
      </c>
      <c r="O9" t="s">
        <v>173</v>
      </c>
      <c r="P9" t="s">
        <v>173</v>
      </c>
      <c r="Q9">
        <v>1</v>
      </c>
      <c r="W9">
        <v>0</v>
      </c>
      <c r="X9">
        <v>26148632</v>
      </c>
      <c r="Y9">
        <f>(AT9*15)</f>
        <v>1.2</v>
      </c>
      <c r="AA9">
        <v>0</v>
      </c>
      <c r="AB9">
        <v>1988.28</v>
      </c>
      <c r="AC9">
        <v>838.86</v>
      </c>
      <c r="AD9">
        <v>0</v>
      </c>
      <c r="AE9">
        <v>0</v>
      </c>
      <c r="AF9">
        <v>1988.28</v>
      </c>
      <c r="AG9">
        <v>838.86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0.08</v>
      </c>
      <c r="AU9" t="s">
        <v>49</v>
      </c>
      <c r="AV9">
        <v>0</v>
      </c>
      <c r="AW9">
        <v>2</v>
      </c>
      <c r="AX9">
        <v>80892237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f>ROUND(Y9*Source!I38*DO9,9)</f>
        <v>0</v>
      </c>
      <c r="CX9">
        <f>ROUND(Y9*Source!I38,9)</f>
        <v>52.385855999999997</v>
      </c>
      <c r="CY9">
        <f>AB9</f>
        <v>1988.28</v>
      </c>
      <c r="CZ9">
        <f>AF9</f>
        <v>1988.28</v>
      </c>
      <c r="DA9">
        <f>AJ9</f>
        <v>1</v>
      </c>
      <c r="DB9">
        <f>ROUND((ROUND(AT9*CZ9,2)*15),6)</f>
        <v>2385.9</v>
      </c>
      <c r="DC9">
        <f>ROUND((ROUND(AT9*AG9,2)*15),6)</f>
        <v>1006.65</v>
      </c>
      <c r="DD9" t="s">
        <v>3</v>
      </c>
      <c r="DE9" t="s">
        <v>3</v>
      </c>
      <c r="DF9">
        <f t="shared" si="0"/>
        <v>0</v>
      </c>
      <c r="DG9">
        <f t="shared" si="1"/>
        <v>104157.75</v>
      </c>
      <c r="DH9">
        <f t="shared" si="2"/>
        <v>43944.4</v>
      </c>
      <c r="DI9">
        <f t="shared" si="3"/>
        <v>0</v>
      </c>
      <c r="DJ9">
        <f>DG9</f>
        <v>104157.75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5">
      <c r="A10">
        <f>ROW(Source!A38)</f>
        <v>38</v>
      </c>
      <c r="B10">
        <v>80891843</v>
      </c>
      <c r="C10">
        <v>80892038</v>
      </c>
      <c r="D10">
        <v>80216195</v>
      </c>
      <c r="E10">
        <v>1</v>
      </c>
      <c r="F10">
        <v>1</v>
      </c>
      <c r="G10">
        <v>15514512</v>
      </c>
      <c r="H10">
        <v>3</v>
      </c>
      <c r="I10" t="s">
        <v>180</v>
      </c>
      <c r="J10" t="s">
        <v>181</v>
      </c>
      <c r="K10" t="s">
        <v>182</v>
      </c>
      <c r="L10">
        <v>1346</v>
      </c>
      <c r="N10">
        <v>1009</v>
      </c>
      <c r="O10" t="s">
        <v>160</v>
      </c>
      <c r="P10" t="s">
        <v>160</v>
      </c>
      <c r="Q10">
        <v>1</v>
      </c>
      <c r="W10">
        <v>0</v>
      </c>
      <c r="X10">
        <v>-584861322</v>
      </c>
      <c r="Y10">
        <f>(AT10*15)</f>
        <v>750</v>
      </c>
      <c r="AA10">
        <v>27.3</v>
      </c>
      <c r="AB10">
        <v>0</v>
      </c>
      <c r="AC10">
        <v>0</v>
      </c>
      <c r="AD10">
        <v>0</v>
      </c>
      <c r="AE10">
        <v>27.3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50</v>
      </c>
      <c r="AU10" t="s">
        <v>49</v>
      </c>
      <c r="AV10">
        <v>0</v>
      </c>
      <c r="AW10">
        <v>2</v>
      </c>
      <c r="AX10">
        <v>80892238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ROUND(Y10*Source!I38,9)</f>
        <v>32741.16</v>
      </c>
      <c r="CY10">
        <f>AA10</f>
        <v>27.3</v>
      </c>
      <c r="CZ10">
        <f>AE10</f>
        <v>27.3</v>
      </c>
      <c r="DA10">
        <f>AI10</f>
        <v>1</v>
      </c>
      <c r="DB10">
        <f>ROUND((ROUND(AT10*CZ10,2)*15),6)</f>
        <v>20475</v>
      </c>
      <c r="DC10">
        <f>ROUND((ROUND(AT10*AG10,2)*15),6)</f>
        <v>0</v>
      </c>
      <c r="DD10" t="s">
        <v>3</v>
      </c>
      <c r="DE10" t="s">
        <v>3</v>
      </c>
      <c r="DF10">
        <f t="shared" si="0"/>
        <v>893833.67</v>
      </c>
      <c r="DG10">
        <f t="shared" si="1"/>
        <v>0</v>
      </c>
      <c r="DH10">
        <f t="shared" si="2"/>
        <v>0</v>
      </c>
      <c r="DI10">
        <f t="shared" si="3"/>
        <v>0</v>
      </c>
      <c r="DJ10">
        <f>DF10</f>
        <v>893833.67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5">
      <c r="A11">
        <f>ROW(Source!A39)</f>
        <v>39</v>
      </c>
      <c r="B11">
        <v>80891843</v>
      </c>
      <c r="C11">
        <v>80892039</v>
      </c>
      <c r="D11">
        <v>80199986</v>
      </c>
      <c r="E11">
        <v>15514512</v>
      </c>
      <c r="F11">
        <v>1</v>
      </c>
      <c r="G11">
        <v>15514512</v>
      </c>
      <c r="H11">
        <v>1</v>
      </c>
      <c r="I11" t="s">
        <v>174</v>
      </c>
      <c r="J11" t="s">
        <v>3</v>
      </c>
      <c r="K11" t="s">
        <v>175</v>
      </c>
      <c r="L11">
        <v>1191</v>
      </c>
      <c r="N11">
        <v>1013</v>
      </c>
      <c r="O11" t="s">
        <v>176</v>
      </c>
      <c r="P11" t="s">
        <v>176</v>
      </c>
      <c r="Q11">
        <v>1</v>
      </c>
      <c r="W11">
        <v>0</v>
      </c>
      <c r="X11">
        <v>476480486</v>
      </c>
      <c r="Y11">
        <f>(AT11*5)</f>
        <v>12.05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2.41</v>
      </c>
      <c r="AU11" t="s">
        <v>58</v>
      </c>
      <c r="AV11">
        <v>1</v>
      </c>
      <c r="AW11">
        <v>2</v>
      </c>
      <c r="AX11">
        <v>80892239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U11">
        <f>ROUND(AT11*Source!I39*AH11*AL11,2)</f>
        <v>0</v>
      </c>
      <c r="CV11">
        <f>ROUND(Y11*Source!I39,9)</f>
        <v>65.755645000000001</v>
      </c>
      <c r="CW11">
        <v>0</v>
      </c>
      <c r="CX11">
        <f>ROUND(Y11*Source!I39,9)</f>
        <v>65.755645000000001</v>
      </c>
      <c r="CY11">
        <f>AD11</f>
        <v>0</v>
      </c>
      <c r="CZ11">
        <f>AH11</f>
        <v>0</v>
      </c>
      <c r="DA11">
        <f>AL11</f>
        <v>1</v>
      </c>
      <c r="DB11">
        <f>ROUND((ROUND(AT11*CZ11,2)*5),6)</f>
        <v>0</v>
      </c>
      <c r="DC11">
        <f>ROUND((ROUND(AT11*AG11,2)*5),6)</f>
        <v>0</v>
      </c>
      <c r="DD11" t="s">
        <v>3</v>
      </c>
      <c r="DE11" t="s">
        <v>3</v>
      </c>
      <c r="DF11">
        <f t="shared" si="0"/>
        <v>0</v>
      </c>
      <c r="DG11">
        <f t="shared" si="1"/>
        <v>0</v>
      </c>
      <c r="DH11">
        <f t="shared" si="2"/>
        <v>0</v>
      </c>
      <c r="DI11">
        <f t="shared" si="3"/>
        <v>0</v>
      </c>
      <c r="DJ11">
        <f>DI11</f>
        <v>0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5">
      <c r="A12">
        <f>ROW(Source!A40)</f>
        <v>40</v>
      </c>
      <c r="B12">
        <v>80891843</v>
      </c>
      <c r="C12">
        <v>80892040</v>
      </c>
      <c r="D12">
        <v>80199986</v>
      </c>
      <c r="E12">
        <v>15514512</v>
      </c>
      <c r="F12">
        <v>1</v>
      </c>
      <c r="G12">
        <v>15514512</v>
      </c>
      <c r="H12">
        <v>1</v>
      </c>
      <c r="I12" t="s">
        <v>174</v>
      </c>
      <c r="J12" t="s">
        <v>3</v>
      </c>
      <c r="K12" t="s">
        <v>175</v>
      </c>
      <c r="L12">
        <v>1191</v>
      </c>
      <c r="N12">
        <v>1013</v>
      </c>
      <c r="O12" t="s">
        <v>176</v>
      </c>
      <c r="P12" t="s">
        <v>176</v>
      </c>
      <c r="Q12">
        <v>1</v>
      </c>
      <c r="W12">
        <v>0</v>
      </c>
      <c r="X12">
        <v>476480486</v>
      </c>
      <c r="Y12">
        <f>AT12</f>
        <v>0.37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0.37</v>
      </c>
      <c r="AU12" t="s">
        <v>3</v>
      </c>
      <c r="AV12">
        <v>1</v>
      </c>
      <c r="AW12">
        <v>2</v>
      </c>
      <c r="AX12">
        <v>80892240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U12">
        <f>ROUND(AT12*Source!I40*AH12*AL12,2)</f>
        <v>0</v>
      </c>
      <c r="CV12">
        <f>ROUND(Y12*Source!I40,9)</f>
        <v>1817.1366</v>
      </c>
      <c r="CW12">
        <v>0</v>
      </c>
      <c r="CX12">
        <f>ROUND(Y12*Source!I40,9)</f>
        <v>1817.1366</v>
      </c>
      <c r="CY12">
        <f>AD12</f>
        <v>0</v>
      </c>
      <c r="CZ12">
        <f>AH12</f>
        <v>0</v>
      </c>
      <c r="DA12">
        <f>AL12</f>
        <v>1</v>
      </c>
      <c r="DB12">
        <f>ROUND(ROUND(AT12*CZ12,2),6)</f>
        <v>0</v>
      </c>
      <c r="DC12">
        <f>ROUND(ROUND(AT12*AG12,2),6)</f>
        <v>0</v>
      </c>
      <c r="DD12" t="s">
        <v>3</v>
      </c>
      <c r="DE12" t="s">
        <v>3</v>
      </c>
      <c r="DF12">
        <f t="shared" si="0"/>
        <v>0</v>
      </c>
      <c r="DG12">
        <f t="shared" si="1"/>
        <v>0</v>
      </c>
      <c r="DH12">
        <f t="shared" si="2"/>
        <v>0</v>
      </c>
      <c r="DI12">
        <f t="shared" si="3"/>
        <v>0</v>
      </c>
      <c r="DJ12">
        <f>DI12</f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5">
      <c r="A13">
        <f>ROW(Source!A40)</f>
        <v>40</v>
      </c>
      <c r="B13">
        <v>80891843</v>
      </c>
      <c r="C13">
        <v>80892040</v>
      </c>
      <c r="D13">
        <v>80212784</v>
      </c>
      <c r="E13">
        <v>1</v>
      </c>
      <c r="F13">
        <v>1</v>
      </c>
      <c r="G13">
        <v>15514512</v>
      </c>
      <c r="H13">
        <v>2</v>
      </c>
      <c r="I13" t="s">
        <v>186</v>
      </c>
      <c r="J13" t="s">
        <v>187</v>
      </c>
      <c r="K13" t="s">
        <v>188</v>
      </c>
      <c r="L13">
        <v>1368</v>
      </c>
      <c r="N13">
        <v>1011</v>
      </c>
      <c r="O13" t="s">
        <v>173</v>
      </c>
      <c r="P13" t="s">
        <v>173</v>
      </c>
      <c r="Q13">
        <v>1</v>
      </c>
      <c r="W13">
        <v>0</v>
      </c>
      <c r="X13">
        <v>-290374090</v>
      </c>
      <c r="Y13">
        <f>AT13</f>
        <v>0.34</v>
      </c>
      <c r="AA13">
        <v>0</v>
      </c>
      <c r="AB13">
        <v>2097.0700000000002</v>
      </c>
      <c r="AC13">
        <v>1028.7</v>
      </c>
      <c r="AD13">
        <v>0</v>
      </c>
      <c r="AE13">
        <v>0</v>
      </c>
      <c r="AF13">
        <v>2097.0700000000002</v>
      </c>
      <c r="AG13">
        <v>1028.7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0.34</v>
      </c>
      <c r="AU13" t="s">
        <v>3</v>
      </c>
      <c r="AV13">
        <v>0</v>
      </c>
      <c r="AW13">
        <v>2</v>
      </c>
      <c r="AX13">
        <v>80892241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f>ROUND(Y13*Source!I40*DO13,9)</f>
        <v>0</v>
      </c>
      <c r="CX13">
        <f>ROUND(Y13*Source!I40,9)</f>
        <v>1669.8012000000001</v>
      </c>
      <c r="CY13">
        <f>AB13</f>
        <v>2097.0700000000002</v>
      </c>
      <c r="CZ13">
        <f>AF13</f>
        <v>2097.0700000000002</v>
      </c>
      <c r="DA13">
        <f>AJ13</f>
        <v>1</v>
      </c>
      <c r="DB13">
        <f>ROUND(ROUND(AT13*CZ13,2),6)</f>
        <v>713</v>
      </c>
      <c r="DC13">
        <f>ROUND(ROUND(AT13*AG13,2),6)</f>
        <v>349.76</v>
      </c>
      <c r="DD13" t="s">
        <v>3</v>
      </c>
      <c r="DE13" t="s">
        <v>3</v>
      </c>
      <c r="DF13">
        <f t="shared" si="0"/>
        <v>0</v>
      </c>
      <c r="DG13">
        <f t="shared" si="1"/>
        <v>3501690</v>
      </c>
      <c r="DH13">
        <f t="shared" si="2"/>
        <v>1717724.49</v>
      </c>
      <c r="DI13">
        <f t="shared" si="3"/>
        <v>0</v>
      </c>
      <c r="DJ13">
        <f>DG13</f>
        <v>3501690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5">
      <c r="A14">
        <f>ROW(Source!A41)</f>
        <v>41</v>
      </c>
      <c r="B14">
        <v>80891843</v>
      </c>
      <c r="C14">
        <v>80892041</v>
      </c>
      <c r="D14">
        <v>80212784</v>
      </c>
      <c r="E14">
        <v>1</v>
      </c>
      <c r="F14">
        <v>1</v>
      </c>
      <c r="G14">
        <v>15514512</v>
      </c>
      <c r="H14">
        <v>2</v>
      </c>
      <c r="I14" t="s">
        <v>186</v>
      </c>
      <c r="J14" t="s">
        <v>187</v>
      </c>
      <c r="K14" t="s">
        <v>188</v>
      </c>
      <c r="L14">
        <v>1368</v>
      </c>
      <c r="N14">
        <v>1011</v>
      </c>
      <c r="O14" t="s">
        <v>173</v>
      </c>
      <c r="P14" t="s">
        <v>173</v>
      </c>
      <c r="Q14">
        <v>1</v>
      </c>
      <c r="W14">
        <v>0</v>
      </c>
      <c r="X14">
        <v>-290374090</v>
      </c>
      <c r="Y14">
        <f>AT14</f>
        <v>0.09</v>
      </c>
      <c r="AA14">
        <v>0</v>
      </c>
      <c r="AB14">
        <v>2097.0700000000002</v>
      </c>
      <c r="AC14">
        <v>1028.7</v>
      </c>
      <c r="AD14">
        <v>0</v>
      </c>
      <c r="AE14">
        <v>0</v>
      </c>
      <c r="AF14">
        <v>2097.0700000000002</v>
      </c>
      <c r="AG14">
        <v>1028.7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0.09</v>
      </c>
      <c r="AU14" t="s">
        <v>3</v>
      </c>
      <c r="AV14">
        <v>0</v>
      </c>
      <c r="AW14">
        <v>2</v>
      </c>
      <c r="AX14">
        <v>80892242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f>ROUND(Y14*Source!I41*DO14,9)</f>
        <v>0</v>
      </c>
      <c r="CX14">
        <f>ROUND(Y14*Source!I41,9)</f>
        <v>442.00619999999998</v>
      </c>
      <c r="CY14">
        <f>AB14</f>
        <v>2097.0700000000002</v>
      </c>
      <c r="CZ14">
        <f>AF14</f>
        <v>2097.0700000000002</v>
      </c>
      <c r="DA14">
        <f>AJ14</f>
        <v>1</v>
      </c>
      <c r="DB14">
        <f>ROUND(ROUND(AT14*CZ14,2),6)</f>
        <v>188.74</v>
      </c>
      <c r="DC14">
        <f>ROUND(ROUND(AT14*AG14,2),6)</f>
        <v>92.58</v>
      </c>
      <c r="DD14" t="s">
        <v>3</v>
      </c>
      <c r="DE14" t="s">
        <v>3</v>
      </c>
      <c r="DF14">
        <f t="shared" si="0"/>
        <v>0</v>
      </c>
      <c r="DG14">
        <f t="shared" si="1"/>
        <v>926917.94</v>
      </c>
      <c r="DH14">
        <f t="shared" si="2"/>
        <v>454691.78</v>
      </c>
      <c r="DI14">
        <f t="shared" si="3"/>
        <v>0</v>
      </c>
      <c r="DJ14">
        <f>DG14</f>
        <v>926917.94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5">
      <c r="A15">
        <f>ROW(Source!A77)</f>
        <v>77</v>
      </c>
      <c r="B15">
        <v>80891843</v>
      </c>
      <c r="C15">
        <v>80892105</v>
      </c>
      <c r="D15">
        <v>80213221</v>
      </c>
      <c r="E15">
        <v>1</v>
      </c>
      <c r="F15">
        <v>1</v>
      </c>
      <c r="G15">
        <v>15514512</v>
      </c>
      <c r="H15">
        <v>2</v>
      </c>
      <c r="I15" t="s">
        <v>177</v>
      </c>
      <c r="J15" t="s">
        <v>178</v>
      </c>
      <c r="K15" t="s">
        <v>179</v>
      </c>
      <c r="L15">
        <v>1368</v>
      </c>
      <c r="N15">
        <v>1011</v>
      </c>
      <c r="O15" t="s">
        <v>173</v>
      </c>
      <c r="P15" t="s">
        <v>173</v>
      </c>
      <c r="Q15">
        <v>1</v>
      </c>
      <c r="W15">
        <v>0</v>
      </c>
      <c r="X15">
        <v>-566548736</v>
      </c>
      <c r="Y15">
        <f>(AT15*57)</f>
        <v>14.82</v>
      </c>
      <c r="AA15">
        <v>0</v>
      </c>
      <c r="AB15">
        <v>1783.28</v>
      </c>
      <c r="AC15">
        <v>842.87</v>
      </c>
      <c r="AD15">
        <v>0</v>
      </c>
      <c r="AE15">
        <v>0</v>
      </c>
      <c r="AF15">
        <v>1783.28</v>
      </c>
      <c r="AG15">
        <v>842.87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0.26</v>
      </c>
      <c r="AU15" t="s">
        <v>122</v>
      </c>
      <c r="AV15">
        <v>0</v>
      </c>
      <c r="AW15">
        <v>2</v>
      </c>
      <c r="AX15">
        <v>80892243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f>ROUND(Y15*Source!I77*DO15,9)</f>
        <v>0</v>
      </c>
      <c r="CX15">
        <f>ROUND(Y15*Source!I77,9)</f>
        <v>646.96532160000004</v>
      </c>
      <c r="CY15">
        <f>AB15</f>
        <v>1783.28</v>
      </c>
      <c r="CZ15">
        <f>AF15</f>
        <v>1783.28</v>
      </c>
      <c r="DA15">
        <f>AJ15</f>
        <v>1</v>
      </c>
      <c r="DB15">
        <f>ROUND((ROUND(AT15*CZ15,2)*57),6)</f>
        <v>26428.05</v>
      </c>
      <c r="DC15">
        <f>ROUND((ROUND(AT15*AG15,2)*57),6)</f>
        <v>12491.55</v>
      </c>
      <c r="DD15" t="s">
        <v>3</v>
      </c>
      <c r="DE15" t="s">
        <v>3</v>
      </c>
      <c r="DF15">
        <f t="shared" si="0"/>
        <v>0</v>
      </c>
      <c r="DG15">
        <f t="shared" si="1"/>
        <v>1153720.3200000001</v>
      </c>
      <c r="DH15">
        <f t="shared" si="2"/>
        <v>545307.66</v>
      </c>
      <c r="DI15">
        <f t="shared" si="3"/>
        <v>0</v>
      </c>
      <c r="DJ15">
        <f>DG15</f>
        <v>1153720.3200000001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5">
      <c r="A16">
        <f>ROW(Source!A77)</f>
        <v>77</v>
      </c>
      <c r="B16">
        <v>80891843</v>
      </c>
      <c r="C16">
        <v>80892105</v>
      </c>
      <c r="D16">
        <v>80215470</v>
      </c>
      <c r="E16">
        <v>1</v>
      </c>
      <c r="F16">
        <v>1</v>
      </c>
      <c r="G16">
        <v>15514512</v>
      </c>
      <c r="H16">
        <v>3</v>
      </c>
      <c r="I16" t="s">
        <v>37</v>
      </c>
      <c r="J16" t="s">
        <v>40</v>
      </c>
      <c r="K16" t="s">
        <v>38</v>
      </c>
      <c r="L16">
        <v>1339</v>
      </c>
      <c r="N16">
        <v>1007</v>
      </c>
      <c r="O16" t="s">
        <v>39</v>
      </c>
      <c r="P16" t="s">
        <v>39</v>
      </c>
      <c r="Q16">
        <v>1</v>
      </c>
      <c r="W16">
        <v>1</v>
      </c>
      <c r="X16">
        <v>2112060389</v>
      </c>
      <c r="Y16">
        <f>(AT16*57)</f>
        <v>-11.4</v>
      </c>
      <c r="AA16">
        <v>54.81</v>
      </c>
      <c r="AB16">
        <v>0</v>
      </c>
      <c r="AC16">
        <v>0</v>
      </c>
      <c r="AD16">
        <v>0</v>
      </c>
      <c r="AE16">
        <v>54.81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-0.2</v>
      </c>
      <c r="AU16" t="s">
        <v>122</v>
      </c>
      <c r="AV16">
        <v>0</v>
      </c>
      <c r="AW16">
        <v>2</v>
      </c>
      <c r="AX16">
        <v>80892244</v>
      </c>
      <c r="AY16">
        <v>1</v>
      </c>
      <c r="AZ16">
        <v>6144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ROUND(Y16*Source!I77,9)</f>
        <v>-497.66563200000002</v>
      </c>
      <c r="CY16">
        <f>AA16</f>
        <v>54.81</v>
      </c>
      <c r="CZ16">
        <f>AE16</f>
        <v>54.81</v>
      </c>
      <c r="DA16">
        <f>AI16</f>
        <v>1</v>
      </c>
      <c r="DB16">
        <f>ROUND((ROUND(AT16*CZ16,2)*57),6)</f>
        <v>-624.72</v>
      </c>
      <c r="DC16">
        <f>ROUND((ROUND(AT16*AG16,2)*57),6)</f>
        <v>0</v>
      </c>
      <c r="DD16" t="s">
        <v>3</v>
      </c>
      <c r="DE16" t="s">
        <v>3</v>
      </c>
      <c r="DF16">
        <f t="shared" si="0"/>
        <v>-27277.05</v>
      </c>
      <c r="DG16">
        <f t="shared" si="1"/>
        <v>0</v>
      </c>
      <c r="DH16">
        <f t="shared" si="2"/>
        <v>0</v>
      </c>
      <c r="DI16">
        <f t="shared" si="3"/>
        <v>0</v>
      </c>
      <c r="DJ16">
        <f>DF16</f>
        <v>-27277.05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5">
      <c r="A17">
        <f>ROW(Source!A79)</f>
        <v>79</v>
      </c>
      <c r="B17">
        <v>80891843</v>
      </c>
      <c r="C17">
        <v>80892106</v>
      </c>
      <c r="D17">
        <v>80199986</v>
      </c>
      <c r="E17">
        <v>15514512</v>
      </c>
      <c r="F17">
        <v>1</v>
      </c>
      <c r="G17">
        <v>15514512</v>
      </c>
      <c r="H17">
        <v>1</v>
      </c>
      <c r="I17" t="s">
        <v>174</v>
      </c>
      <c r="J17" t="s">
        <v>3</v>
      </c>
      <c r="K17" t="s">
        <v>175</v>
      </c>
      <c r="L17">
        <v>1191</v>
      </c>
      <c r="N17">
        <v>1013</v>
      </c>
      <c r="O17" t="s">
        <v>176</v>
      </c>
      <c r="P17" t="s">
        <v>176</v>
      </c>
      <c r="Q17">
        <v>1</v>
      </c>
      <c r="W17">
        <v>0</v>
      </c>
      <c r="X17">
        <v>476480486</v>
      </c>
      <c r="Y17">
        <f>(AT17*57)</f>
        <v>7.98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0.14000000000000001</v>
      </c>
      <c r="AU17" t="s">
        <v>122</v>
      </c>
      <c r="AV17">
        <v>1</v>
      </c>
      <c r="AW17">
        <v>2</v>
      </c>
      <c r="AX17">
        <v>80892246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U17">
        <f>ROUND(AT17*Source!I79*AH17*AL17,2)</f>
        <v>0</v>
      </c>
      <c r="CV17">
        <f>ROUND(Y17*Source!I79,9)</f>
        <v>870.91485599999999</v>
      </c>
      <c r="CW17">
        <v>0</v>
      </c>
      <c r="CX17">
        <f>ROUND(Y17*Source!I79,9)</f>
        <v>870.91485599999999</v>
      </c>
      <c r="CY17">
        <f>AD17</f>
        <v>0</v>
      </c>
      <c r="CZ17">
        <f>AH17</f>
        <v>0</v>
      </c>
      <c r="DA17">
        <f>AL17</f>
        <v>1</v>
      </c>
      <c r="DB17">
        <f>ROUND((ROUND(AT17*CZ17,2)*57),6)</f>
        <v>0</v>
      </c>
      <c r="DC17">
        <f>ROUND((ROUND(AT17*AG17,2)*57),6)</f>
        <v>0</v>
      </c>
      <c r="DD17" t="s">
        <v>3</v>
      </c>
      <c r="DE17" t="s">
        <v>3</v>
      </c>
      <c r="DF17">
        <f t="shared" si="0"/>
        <v>0</v>
      </c>
      <c r="DG17">
        <f t="shared" si="1"/>
        <v>0</v>
      </c>
      <c r="DH17">
        <f t="shared" si="2"/>
        <v>0</v>
      </c>
      <c r="DI17">
        <f t="shared" si="3"/>
        <v>0</v>
      </c>
      <c r="DJ17">
        <f>DI17</f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5">
      <c r="A18">
        <f>ROW(Source!A80)</f>
        <v>80</v>
      </c>
      <c r="B18">
        <v>80891843</v>
      </c>
      <c r="C18">
        <v>80892109</v>
      </c>
      <c r="D18">
        <v>80213221</v>
      </c>
      <c r="E18">
        <v>1</v>
      </c>
      <c r="F18">
        <v>1</v>
      </c>
      <c r="G18">
        <v>15514512</v>
      </c>
      <c r="H18">
        <v>2</v>
      </c>
      <c r="I18" t="s">
        <v>177</v>
      </c>
      <c r="J18" t="s">
        <v>178</v>
      </c>
      <c r="K18" t="s">
        <v>179</v>
      </c>
      <c r="L18">
        <v>1368</v>
      </c>
      <c r="N18">
        <v>1011</v>
      </c>
      <c r="O18" t="s">
        <v>173</v>
      </c>
      <c r="P18" t="s">
        <v>173</v>
      </c>
      <c r="Q18">
        <v>1</v>
      </c>
      <c r="W18">
        <v>0</v>
      </c>
      <c r="X18">
        <v>-566548736</v>
      </c>
      <c r="Y18">
        <f>(AT18*10)</f>
        <v>4.2</v>
      </c>
      <c r="AA18">
        <v>0</v>
      </c>
      <c r="AB18">
        <v>1783.28</v>
      </c>
      <c r="AC18">
        <v>842.87</v>
      </c>
      <c r="AD18">
        <v>0</v>
      </c>
      <c r="AE18">
        <v>0</v>
      </c>
      <c r="AF18">
        <v>1783.28</v>
      </c>
      <c r="AG18">
        <v>842.87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0.42</v>
      </c>
      <c r="AU18" t="s">
        <v>129</v>
      </c>
      <c r="AV18">
        <v>0</v>
      </c>
      <c r="AW18">
        <v>2</v>
      </c>
      <c r="AX18">
        <v>80892247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f>ROUND(Y18*Source!I80*DO18,9)</f>
        <v>0</v>
      </c>
      <c r="CX18">
        <f>ROUND(Y18*Source!I80,9)</f>
        <v>229.18812</v>
      </c>
      <c r="CY18">
        <f>AB18</f>
        <v>1783.28</v>
      </c>
      <c r="CZ18">
        <f>AF18</f>
        <v>1783.28</v>
      </c>
      <c r="DA18">
        <f>AJ18</f>
        <v>1</v>
      </c>
      <c r="DB18">
        <f>ROUND((ROUND(AT18*CZ18,2)*10),6)</f>
        <v>7489.8</v>
      </c>
      <c r="DC18">
        <f>ROUND((ROUND(AT18*AG18,2)*10),6)</f>
        <v>3540.1</v>
      </c>
      <c r="DD18" t="s">
        <v>3</v>
      </c>
      <c r="DE18" t="s">
        <v>3</v>
      </c>
      <c r="DF18">
        <f t="shared" si="0"/>
        <v>0</v>
      </c>
      <c r="DG18">
        <f t="shared" si="1"/>
        <v>408706.59</v>
      </c>
      <c r="DH18">
        <f t="shared" si="2"/>
        <v>193175.79</v>
      </c>
      <c r="DI18">
        <f t="shared" si="3"/>
        <v>0</v>
      </c>
      <c r="DJ18">
        <f>DG18</f>
        <v>408706.59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5">
      <c r="A19">
        <f>ROW(Source!A80)</f>
        <v>80</v>
      </c>
      <c r="B19">
        <v>80891843</v>
      </c>
      <c r="C19">
        <v>80892109</v>
      </c>
      <c r="D19">
        <v>80215470</v>
      </c>
      <c r="E19">
        <v>1</v>
      </c>
      <c r="F19">
        <v>1</v>
      </c>
      <c r="G19">
        <v>15514512</v>
      </c>
      <c r="H19">
        <v>3</v>
      </c>
      <c r="I19" t="s">
        <v>37</v>
      </c>
      <c r="J19" t="s">
        <v>40</v>
      </c>
      <c r="K19" t="s">
        <v>38</v>
      </c>
      <c r="L19">
        <v>1339</v>
      </c>
      <c r="N19">
        <v>1007</v>
      </c>
      <c r="O19" t="s">
        <v>39</v>
      </c>
      <c r="P19" t="s">
        <v>39</v>
      </c>
      <c r="Q19">
        <v>1</v>
      </c>
      <c r="W19">
        <v>0</v>
      </c>
      <c r="X19">
        <v>2112060389</v>
      </c>
      <c r="Y19">
        <f>(AT19*10)</f>
        <v>3.5</v>
      </c>
      <c r="AA19">
        <v>54.81</v>
      </c>
      <c r="AB19">
        <v>0</v>
      </c>
      <c r="AC19">
        <v>0</v>
      </c>
      <c r="AD19">
        <v>0</v>
      </c>
      <c r="AE19">
        <v>54.81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0.35</v>
      </c>
      <c r="AU19" t="s">
        <v>129</v>
      </c>
      <c r="AV19">
        <v>0</v>
      </c>
      <c r="AW19">
        <v>2</v>
      </c>
      <c r="AX19">
        <v>80892248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ROUND(Y19*Source!I80,9)</f>
        <v>190.99010000000001</v>
      </c>
      <c r="CY19">
        <f>AA19</f>
        <v>54.81</v>
      </c>
      <c r="CZ19">
        <f>AE19</f>
        <v>54.81</v>
      </c>
      <c r="DA19">
        <f>AI19</f>
        <v>1</v>
      </c>
      <c r="DB19">
        <f>ROUND((ROUND(AT19*CZ19,2)*10),6)</f>
        <v>191.8</v>
      </c>
      <c r="DC19">
        <f>ROUND((ROUND(AT19*AG19,2)*10),6)</f>
        <v>0</v>
      </c>
      <c r="DD19" t="s">
        <v>3</v>
      </c>
      <c r="DE19" t="s">
        <v>3</v>
      </c>
      <c r="DF19">
        <f t="shared" si="0"/>
        <v>10468.17</v>
      </c>
      <c r="DG19">
        <f t="shared" si="1"/>
        <v>0</v>
      </c>
      <c r="DH19">
        <f t="shared" si="2"/>
        <v>0</v>
      </c>
      <c r="DI19">
        <f t="shared" si="3"/>
        <v>0</v>
      </c>
      <c r="DJ19">
        <f>DF19</f>
        <v>10468.17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5">
      <c r="A20">
        <f>ROW(Source!A81)</f>
        <v>81</v>
      </c>
      <c r="B20">
        <v>80891843</v>
      </c>
      <c r="C20">
        <v>80892110</v>
      </c>
      <c r="D20">
        <v>80213221</v>
      </c>
      <c r="E20">
        <v>1</v>
      </c>
      <c r="F20">
        <v>1</v>
      </c>
      <c r="G20">
        <v>15514512</v>
      </c>
      <c r="H20">
        <v>2</v>
      </c>
      <c r="I20" t="s">
        <v>177</v>
      </c>
      <c r="J20" t="s">
        <v>178</v>
      </c>
      <c r="K20" t="s">
        <v>179</v>
      </c>
      <c r="L20">
        <v>1368</v>
      </c>
      <c r="N20">
        <v>1011</v>
      </c>
      <c r="O20" t="s">
        <v>173</v>
      </c>
      <c r="P20" t="s">
        <v>173</v>
      </c>
      <c r="Q20">
        <v>1</v>
      </c>
      <c r="W20">
        <v>0</v>
      </c>
      <c r="X20">
        <v>-566548736</v>
      </c>
      <c r="Y20">
        <f>AT20</f>
        <v>0.66</v>
      </c>
      <c r="AA20">
        <v>0</v>
      </c>
      <c r="AB20">
        <v>1783.28</v>
      </c>
      <c r="AC20">
        <v>842.87</v>
      </c>
      <c r="AD20">
        <v>0</v>
      </c>
      <c r="AE20">
        <v>0</v>
      </c>
      <c r="AF20">
        <v>1783.28</v>
      </c>
      <c r="AG20">
        <v>842.87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0.66</v>
      </c>
      <c r="AU20" t="s">
        <v>3</v>
      </c>
      <c r="AV20">
        <v>0</v>
      </c>
      <c r="AW20">
        <v>2</v>
      </c>
      <c r="AX20">
        <v>80892249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f>ROUND(Y20*Source!I81*DO20,9)</f>
        <v>0</v>
      </c>
      <c r="CX20">
        <f>ROUND(Y20*Source!I81,9)</f>
        <v>36.015276</v>
      </c>
      <c r="CY20">
        <f>AB20</f>
        <v>1783.28</v>
      </c>
      <c r="CZ20">
        <f>AF20</f>
        <v>1783.28</v>
      </c>
      <c r="DA20">
        <f>AJ20</f>
        <v>1</v>
      </c>
      <c r="DB20">
        <f>ROUND(ROUND(AT20*CZ20,2),6)</f>
        <v>1176.96</v>
      </c>
      <c r="DC20">
        <f>ROUND(ROUND(AT20*AG20,2),6)</f>
        <v>556.29</v>
      </c>
      <c r="DD20" t="s">
        <v>3</v>
      </c>
      <c r="DE20" t="s">
        <v>3</v>
      </c>
      <c r="DF20">
        <f t="shared" si="0"/>
        <v>0</v>
      </c>
      <c r="DG20">
        <f t="shared" si="1"/>
        <v>64225.32</v>
      </c>
      <c r="DH20">
        <f t="shared" si="2"/>
        <v>30356.2</v>
      </c>
      <c r="DI20">
        <f t="shared" si="3"/>
        <v>0</v>
      </c>
      <c r="DJ20">
        <f>DG20</f>
        <v>64225.32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5">
      <c r="A21">
        <f>ROW(Source!A81)</f>
        <v>81</v>
      </c>
      <c r="B21">
        <v>80891843</v>
      </c>
      <c r="C21">
        <v>80892110</v>
      </c>
      <c r="D21">
        <v>80215394</v>
      </c>
      <c r="E21">
        <v>1</v>
      </c>
      <c r="F21">
        <v>1</v>
      </c>
      <c r="G21">
        <v>15514512</v>
      </c>
      <c r="H21">
        <v>3</v>
      </c>
      <c r="I21" t="s">
        <v>189</v>
      </c>
      <c r="J21" t="s">
        <v>190</v>
      </c>
      <c r="K21" t="s">
        <v>191</v>
      </c>
      <c r="L21">
        <v>1296</v>
      </c>
      <c r="N21">
        <v>1002</v>
      </c>
      <c r="O21" t="s">
        <v>192</v>
      </c>
      <c r="P21" t="s">
        <v>192</v>
      </c>
      <c r="Q21">
        <v>1</v>
      </c>
      <c r="W21">
        <v>0</v>
      </c>
      <c r="X21">
        <v>427032128</v>
      </c>
      <c r="Y21">
        <f>AT21</f>
        <v>1.1200000000000001</v>
      </c>
      <c r="AA21">
        <v>256.36</v>
      </c>
      <c r="AB21">
        <v>0</v>
      </c>
      <c r="AC21">
        <v>0</v>
      </c>
      <c r="AD21">
        <v>0</v>
      </c>
      <c r="AE21">
        <v>256.36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1.1200000000000001</v>
      </c>
      <c r="AU21" t="s">
        <v>3</v>
      </c>
      <c r="AV21">
        <v>0</v>
      </c>
      <c r="AW21">
        <v>2</v>
      </c>
      <c r="AX21">
        <v>80892250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ROUND(Y21*Source!I81,9)</f>
        <v>61.116832000000002</v>
      </c>
      <c r="CY21">
        <f>AA21</f>
        <v>256.36</v>
      </c>
      <c r="CZ21">
        <f>AE21</f>
        <v>256.36</v>
      </c>
      <c r="DA21">
        <f>AI21</f>
        <v>1</v>
      </c>
      <c r="DB21">
        <f>ROUND(ROUND(AT21*CZ21,2),6)</f>
        <v>287.12</v>
      </c>
      <c r="DC21">
        <f>ROUND(ROUND(AT21*AG21,2),6)</f>
        <v>0</v>
      </c>
      <c r="DD21" t="s">
        <v>3</v>
      </c>
      <c r="DE21" t="s">
        <v>3</v>
      </c>
      <c r="DF21">
        <f t="shared" si="0"/>
        <v>15667.91</v>
      </c>
      <c r="DG21">
        <f t="shared" si="1"/>
        <v>0</v>
      </c>
      <c r="DH21">
        <f t="shared" si="2"/>
        <v>0</v>
      </c>
      <c r="DI21">
        <f t="shared" si="3"/>
        <v>0</v>
      </c>
      <c r="DJ21">
        <f>DF21</f>
        <v>15667.91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5">
      <c r="A22">
        <f>ROW(Source!A81)</f>
        <v>81</v>
      </c>
      <c r="B22">
        <v>80891843</v>
      </c>
      <c r="C22">
        <v>80892110</v>
      </c>
      <c r="D22">
        <v>80215470</v>
      </c>
      <c r="E22">
        <v>1</v>
      </c>
      <c r="F22">
        <v>1</v>
      </c>
      <c r="G22">
        <v>15514512</v>
      </c>
      <c r="H22">
        <v>3</v>
      </c>
      <c r="I22" t="s">
        <v>37</v>
      </c>
      <c r="J22" t="s">
        <v>40</v>
      </c>
      <c r="K22" t="s">
        <v>38</v>
      </c>
      <c r="L22">
        <v>1339</v>
      </c>
      <c r="N22">
        <v>1007</v>
      </c>
      <c r="O22" t="s">
        <v>39</v>
      </c>
      <c r="P22" t="s">
        <v>39</v>
      </c>
      <c r="Q22">
        <v>1</v>
      </c>
      <c r="W22">
        <v>0</v>
      </c>
      <c r="X22">
        <v>2112060389</v>
      </c>
      <c r="Y22">
        <f>AT22</f>
        <v>1.1200000000000001</v>
      </c>
      <c r="AA22">
        <v>54.81</v>
      </c>
      <c r="AB22">
        <v>0</v>
      </c>
      <c r="AC22">
        <v>0</v>
      </c>
      <c r="AD22">
        <v>0</v>
      </c>
      <c r="AE22">
        <v>54.81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1.1200000000000001</v>
      </c>
      <c r="AU22" t="s">
        <v>3</v>
      </c>
      <c r="AV22">
        <v>0</v>
      </c>
      <c r="AW22">
        <v>2</v>
      </c>
      <c r="AX22">
        <v>80892251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ROUND(Y22*Source!I81,9)</f>
        <v>61.116832000000002</v>
      </c>
      <c r="CY22">
        <f>AA22</f>
        <v>54.81</v>
      </c>
      <c r="CZ22">
        <f>AE22</f>
        <v>54.81</v>
      </c>
      <c r="DA22">
        <f>AI22</f>
        <v>1</v>
      </c>
      <c r="DB22">
        <f>ROUND(ROUND(AT22*CZ22,2),6)</f>
        <v>61.39</v>
      </c>
      <c r="DC22">
        <f>ROUND(ROUND(AT22*AG22,2),6)</f>
        <v>0</v>
      </c>
      <c r="DD22" t="s">
        <v>3</v>
      </c>
      <c r="DE22" t="s">
        <v>3</v>
      </c>
      <c r="DF22">
        <f t="shared" si="0"/>
        <v>3349.81</v>
      </c>
      <c r="DG22">
        <f t="shared" si="1"/>
        <v>0</v>
      </c>
      <c r="DH22">
        <f t="shared" si="2"/>
        <v>0</v>
      </c>
      <c r="DI22">
        <f t="shared" si="3"/>
        <v>0</v>
      </c>
      <c r="DJ22">
        <f>DF22</f>
        <v>3349.81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5">
      <c r="A23">
        <f>ROW(Source!A117)</f>
        <v>117</v>
      </c>
      <c r="B23">
        <v>80891843</v>
      </c>
      <c r="C23">
        <v>80892175</v>
      </c>
      <c r="D23">
        <v>80199986</v>
      </c>
      <c r="E23">
        <v>15514512</v>
      </c>
      <c r="F23">
        <v>1</v>
      </c>
      <c r="G23">
        <v>15514512</v>
      </c>
      <c r="H23">
        <v>1</v>
      </c>
      <c r="I23" t="s">
        <v>174</v>
      </c>
      <c r="J23" t="s">
        <v>3</v>
      </c>
      <c r="K23" t="s">
        <v>175</v>
      </c>
      <c r="L23">
        <v>1191</v>
      </c>
      <c r="N23">
        <v>1013</v>
      </c>
      <c r="O23" t="s">
        <v>176</v>
      </c>
      <c r="P23" t="s">
        <v>176</v>
      </c>
      <c r="Q23">
        <v>1</v>
      </c>
      <c r="W23">
        <v>0</v>
      </c>
      <c r="X23">
        <v>476480486</v>
      </c>
      <c r="Y23">
        <f t="shared" ref="Y23:Y28" si="4">(AT23*2)</f>
        <v>1.18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0.59</v>
      </c>
      <c r="AU23" t="s">
        <v>136</v>
      </c>
      <c r="AV23">
        <v>1</v>
      </c>
      <c r="AW23">
        <v>2</v>
      </c>
      <c r="AX23">
        <v>80892252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U23">
        <f>ROUND(AT23*Source!I117*AH23*AL23,2)</f>
        <v>0</v>
      </c>
      <c r="CV23">
        <f>ROUND(Y23*Source!I117,9)</f>
        <v>213.97081600000001</v>
      </c>
      <c r="CW23">
        <v>0</v>
      </c>
      <c r="CX23">
        <f>ROUND(Y23*Source!I117,9)</f>
        <v>213.97081600000001</v>
      </c>
      <c r="CY23">
        <f>AD23</f>
        <v>0</v>
      </c>
      <c r="CZ23">
        <f>AH23</f>
        <v>0</v>
      </c>
      <c r="DA23">
        <f>AL23</f>
        <v>1</v>
      </c>
      <c r="DB23">
        <f t="shared" ref="DB23:DB28" si="5">ROUND((ROUND(AT23*CZ23,2)*2),6)</f>
        <v>0</v>
      </c>
      <c r="DC23">
        <f t="shared" ref="DC23:DC28" si="6">ROUND((ROUND(AT23*AG23,2)*2),6)</f>
        <v>0</v>
      </c>
      <c r="DD23" t="s">
        <v>3</v>
      </c>
      <c r="DE23" t="s">
        <v>3</v>
      </c>
      <c r="DF23">
        <f t="shared" si="0"/>
        <v>0</v>
      </c>
      <c r="DG23">
        <f t="shared" si="1"/>
        <v>0</v>
      </c>
      <c r="DH23">
        <f t="shared" si="2"/>
        <v>0</v>
      </c>
      <c r="DI23">
        <f t="shared" si="3"/>
        <v>0</v>
      </c>
      <c r="DJ23">
        <f>DI23</f>
        <v>0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5">
      <c r="A24">
        <f>ROW(Source!A117)</f>
        <v>117</v>
      </c>
      <c r="B24">
        <v>80891843</v>
      </c>
      <c r="C24">
        <v>80892175</v>
      </c>
      <c r="D24">
        <v>80213222</v>
      </c>
      <c r="E24">
        <v>1</v>
      </c>
      <c r="F24">
        <v>1</v>
      </c>
      <c r="G24">
        <v>15514512</v>
      </c>
      <c r="H24">
        <v>2</v>
      </c>
      <c r="I24" t="s">
        <v>193</v>
      </c>
      <c r="J24" t="s">
        <v>194</v>
      </c>
      <c r="K24" t="s">
        <v>195</v>
      </c>
      <c r="L24">
        <v>1368</v>
      </c>
      <c r="N24">
        <v>1011</v>
      </c>
      <c r="O24" t="s">
        <v>173</v>
      </c>
      <c r="P24" t="s">
        <v>173</v>
      </c>
      <c r="Q24">
        <v>1</v>
      </c>
      <c r="W24">
        <v>0</v>
      </c>
      <c r="X24">
        <v>-2077718103</v>
      </c>
      <c r="Y24">
        <f t="shared" si="4"/>
        <v>0.68</v>
      </c>
      <c r="AA24">
        <v>0</v>
      </c>
      <c r="AB24">
        <v>20.7</v>
      </c>
      <c r="AC24">
        <v>0.2</v>
      </c>
      <c r="AD24">
        <v>0</v>
      </c>
      <c r="AE24">
        <v>0</v>
      </c>
      <c r="AF24">
        <v>20.7</v>
      </c>
      <c r="AG24">
        <v>0.2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0.34</v>
      </c>
      <c r="AU24" t="s">
        <v>136</v>
      </c>
      <c r="AV24">
        <v>0</v>
      </c>
      <c r="AW24">
        <v>2</v>
      </c>
      <c r="AX24">
        <v>80892253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f>ROUND(Y24*Source!I117*DO24,9)</f>
        <v>0</v>
      </c>
      <c r="CX24">
        <f>ROUND(Y24*Source!I117,9)</f>
        <v>123.305216</v>
      </c>
      <c r="CY24">
        <f>AB24</f>
        <v>20.7</v>
      </c>
      <c r="CZ24">
        <f>AF24</f>
        <v>20.7</v>
      </c>
      <c r="DA24">
        <f>AJ24</f>
        <v>1</v>
      </c>
      <c r="DB24">
        <f t="shared" si="5"/>
        <v>14.08</v>
      </c>
      <c r="DC24">
        <f t="shared" si="6"/>
        <v>0.14000000000000001</v>
      </c>
      <c r="DD24" t="s">
        <v>3</v>
      </c>
      <c r="DE24" t="s">
        <v>3</v>
      </c>
      <c r="DF24">
        <f t="shared" si="0"/>
        <v>0</v>
      </c>
      <c r="DG24">
        <f t="shared" si="1"/>
        <v>2552.42</v>
      </c>
      <c r="DH24">
        <f t="shared" si="2"/>
        <v>24.66</v>
      </c>
      <c r="DI24">
        <f t="shared" si="3"/>
        <v>0</v>
      </c>
      <c r="DJ24">
        <f>DG24</f>
        <v>2552.42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5">
      <c r="A25">
        <f>ROW(Source!A118)</f>
        <v>118</v>
      </c>
      <c r="B25">
        <v>80891843</v>
      </c>
      <c r="C25">
        <v>80892176</v>
      </c>
      <c r="D25">
        <v>80199986</v>
      </c>
      <c r="E25">
        <v>15514512</v>
      </c>
      <c r="F25">
        <v>1</v>
      </c>
      <c r="G25">
        <v>15514512</v>
      </c>
      <c r="H25">
        <v>1</v>
      </c>
      <c r="I25" t="s">
        <v>174</v>
      </c>
      <c r="J25" t="s">
        <v>3</v>
      </c>
      <c r="K25" t="s">
        <v>175</v>
      </c>
      <c r="L25">
        <v>1191</v>
      </c>
      <c r="N25">
        <v>1013</v>
      </c>
      <c r="O25" t="s">
        <v>176</v>
      </c>
      <c r="P25" t="s">
        <v>176</v>
      </c>
      <c r="Q25">
        <v>1</v>
      </c>
      <c r="W25">
        <v>0</v>
      </c>
      <c r="X25">
        <v>476480486</v>
      </c>
      <c r="Y25">
        <f t="shared" si="4"/>
        <v>3.2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1.6</v>
      </c>
      <c r="AU25" t="s">
        <v>136</v>
      </c>
      <c r="AV25">
        <v>1</v>
      </c>
      <c r="AW25">
        <v>2</v>
      </c>
      <c r="AX25">
        <v>80892254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U25">
        <f>ROUND(AT25*Source!I118*AH25*AL25,2)</f>
        <v>0</v>
      </c>
      <c r="CV25">
        <f>ROUND(Y25*Source!I118,9)</f>
        <v>145.06496000000001</v>
      </c>
      <c r="CW25">
        <v>0</v>
      </c>
      <c r="CX25">
        <f>ROUND(Y25*Source!I118,9)</f>
        <v>145.06496000000001</v>
      </c>
      <c r="CY25">
        <f>AD25</f>
        <v>0</v>
      </c>
      <c r="CZ25">
        <f>AH25</f>
        <v>0</v>
      </c>
      <c r="DA25">
        <f>AL25</f>
        <v>1</v>
      </c>
      <c r="DB25">
        <f t="shared" si="5"/>
        <v>0</v>
      </c>
      <c r="DC25">
        <f t="shared" si="6"/>
        <v>0</v>
      </c>
      <c r="DD25" t="s">
        <v>3</v>
      </c>
      <c r="DE25" t="s">
        <v>3</v>
      </c>
      <c r="DF25">
        <f t="shared" si="0"/>
        <v>0</v>
      </c>
      <c r="DG25">
        <f t="shared" si="1"/>
        <v>0</v>
      </c>
      <c r="DH25">
        <f t="shared" si="2"/>
        <v>0</v>
      </c>
      <c r="DI25">
        <f t="shared" si="3"/>
        <v>0</v>
      </c>
      <c r="DJ25">
        <f>DI25</f>
        <v>0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5">
      <c r="A26">
        <f>ROW(Source!A119)</f>
        <v>119</v>
      </c>
      <c r="B26">
        <v>80891843</v>
      </c>
      <c r="C26">
        <v>80892177</v>
      </c>
      <c r="D26">
        <v>80199986</v>
      </c>
      <c r="E26">
        <v>15514512</v>
      </c>
      <c r="F26">
        <v>1</v>
      </c>
      <c r="G26">
        <v>15514512</v>
      </c>
      <c r="H26">
        <v>1</v>
      </c>
      <c r="I26" t="s">
        <v>174</v>
      </c>
      <c r="J26" t="s">
        <v>3</v>
      </c>
      <c r="K26" t="s">
        <v>175</v>
      </c>
      <c r="L26">
        <v>1191</v>
      </c>
      <c r="N26">
        <v>1013</v>
      </c>
      <c r="O26" t="s">
        <v>176</v>
      </c>
      <c r="P26" t="s">
        <v>176</v>
      </c>
      <c r="Q26">
        <v>1</v>
      </c>
      <c r="W26">
        <v>0</v>
      </c>
      <c r="X26">
        <v>476480486</v>
      </c>
      <c r="Y26">
        <f t="shared" si="4"/>
        <v>0.96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0.48</v>
      </c>
      <c r="AU26" t="s">
        <v>136</v>
      </c>
      <c r="AV26">
        <v>1</v>
      </c>
      <c r="AW26">
        <v>2</v>
      </c>
      <c r="AX26">
        <v>80892255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U26">
        <f>ROUND(AT26*Source!I119*AH26*AL26,2)</f>
        <v>0</v>
      </c>
      <c r="CV26">
        <f>ROUND(Y26*Source!I119,9)</f>
        <v>108.7968</v>
      </c>
      <c r="CW26">
        <v>0</v>
      </c>
      <c r="CX26">
        <f>ROUND(Y26*Source!I119,9)</f>
        <v>108.7968</v>
      </c>
      <c r="CY26">
        <f>AD26</f>
        <v>0</v>
      </c>
      <c r="CZ26">
        <f>AH26</f>
        <v>0</v>
      </c>
      <c r="DA26">
        <f>AL26</f>
        <v>1</v>
      </c>
      <c r="DB26">
        <f t="shared" si="5"/>
        <v>0</v>
      </c>
      <c r="DC26">
        <f t="shared" si="6"/>
        <v>0</v>
      </c>
      <c r="DD26" t="s">
        <v>3</v>
      </c>
      <c r="DE26" t="s">
        <v>3</v>
      </c>
      <c r="DF26">
        <f t="shared" si="0"/>
        <v>0</v>
      </c>
      <c r="DG26">
        <f t="shared" si="1"/>
        <v>0</v>
      </c>
      <c r="DH26">
        <f t="shared" si="2"/>
        <v>0</v>
      </c>
      <c r="DI26">
        <f t="shared" si="3"/>
        <v>0</v>
      </c>
      <c r="DJ26">
        <f>DI26</f>
        <v>0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5">
      <c r="A27">
        <f>ROW(Source!A119)</f>
        <v>119</v>
      </c>
      <c r="B27">
        <v>80891843</v>
      </c>
      <c r="C27">
        <v>80892177</v>
      </c>
      <c r="D27">
        <v>80213338</v>
      </c>
      <c r="E27">
        <v>1</v>
      </c>
      <c r="F27">
        <v>1</v>
      </c>
      <c r="G27">
        <v>15514512</v>
      </c>
      <c r="H27">
        <v>2</v>
      </c>
      <c r="I27" t="s">
        <v>196</v>
      </c>
      <c r="J27" t="s">
        <v>197</v>
      </c>
      <c r="K27" t="s">
        <v>198</v>
      </c>
      <c r="L27">
        <v>1368</v>
      </c>
      <c r="N27">
        <v>1011</v>
      </c>
      <c r="O27" t="s">
        <v>173</v>
      </c>
      <c r="P27" t="s">
        <v>173</v>
      </c>
      <c r="Q27">
        <v>1</v>
      </c>
      <c r="W27">
        <v>0</v>
      </c>
      <c r="X27">
        <v>-1581114072</v>
      </c>
      <c r="Y27">
        <f t="shared" si="4"/>
        <v>0.42</v>
      </c>
      <c r="AA27">
        <v>0</v>
      </c>
      <c r="AB27">
        <v>1650.83</v>
      </c>
      <c r="AC27">
        <v>713.72</v>
      </c>
      <c r="AD27">
        <v>0</v>
      </c>
      <c r="AE27">
        <v>0</v>
      </c>
      <c r="AF27">
        <v>1650.83</v>
      </c>
      <c r="AG27">
        <v>713.72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0.21</v>
      </c>
      <c r="AU27" t="s">
        <v>136</v>
      </c>
      <c r="AV27">
        <v>0</v>
      </c>
      <c r="AW27">
        <v>2</v>
      </c>
      <c r="AX27">
        <v>80892256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f>ROUND(Y27*Source!I119*DO27,9)</f>
        <v>0</v>
      </c>
      <c r="CX27">
        <f>ROUND(Y27*Source!I119,9)</f>
        <v>47.598599999999998</v>
      </c>
      <c r="CY27">
        <f>AB27</f>
        <v>1650.83</v>
      </c>
      <c r="CZ27">
        <f>AF27</f>
        <v>1650.83</v>
      </c>
      <c r="DA27">
        <f>AJ27</f>
        <v>1</v>
      </c>
      <c r="DB27">
        <f t="shared" si="5"/>
        <v>693.34</v>
      </c>
      <c r="DC27">
        <f t="shared" si="6"/>
        <v>299.76</v>
      </c>
      <c r="DD27" t="s">
        <v>3</v>
      </c>
      <c r="DE27" t="s">
        <v>3</v>
      </c>
      <c r="DF27">
        <f t="shared" si="0"/>
        <v>0</v>
      </c>
      <c r="DG27">
        <f t="shared" si="1"/>
        <v>78577.2</v>
      </c>
      <c r="DH27">
        <f t="shared" si="2"/>
        <v>33972.07</v>
      </c>
      <c r="DI27">
        <f t="shared" si="3"/>
        <v>0</v>
      </c>
      <c r="DJ27">
        <f>DG27</f>
        <v>78577.2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5">
      <c r="A28">
        <f>ROW(Source!A119)</f>
        <v>119</v>
      </c>
      <c r="B28">
        <v>80891843</v>
      </c>
      <c r="C28">
        <v>80892177</v>
      </c>
      <c r="D28">
        <v>80215861</v>
      </c>
      <c r="E28">
        <v>1</v>
      </c>
      <c r="F28">
        <v>1</v>
      </c>
      <c r="G28">
        <v>15514512</v>
      </c>
      <c r="H28">
        <v>3</v>
      </c>
      <c r="I28" t="s">
        <v>199</v>
      </c>
      <c r="J28" t="s">
        <v>200</v>
      </c>
      <c r="K28" t="s">
        <v>201</v>
      </c>
      <c r="L28">
        <v>1354</v>
      </c>
      <c r="N28">
        <v>1010</v>
      </c>
      <c r="O28" t="s">
        <v>202</v>
      </c>
      <c r="P28" t="s">
        <v>202</v>
      </c>
      <c r="Q28">
        <v>1</v>
      </c>
      <c r="W28">
        <v>0</v>
      </c>
      <c r="X28">
        <v>1239831338</v>
      </c>
      <c r="Y28">
        <f t="shared" si="4"/>
        <v>16</v>
      </c>
      <c r="AA28">
        <v>9.1</v>
      </c>
      <c r="AB28">
        <v>0</v>
      </c>
      <c r="AC28">
        <v>0</v>
      </c>
      <c r="AD28">
        <v>0</v>
      </c>
      <c r="AE28">
        <v>9.1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8</v>
      </c>
      <c r="AU28" t="s">
        <v>136</v>
      </c>
      <c r="AV28">
        <v>0</v>
      </c>
      <c r="AW28">
        <v>2</v>
      </c>
      <c r="AX28">
        <v>80892257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ROUND(Y28*Source!I119,9)</f>
        <v>1813.28</v>
      </c>
      <c r="CY28">
        <f>AA28</f>
        <v>9.1</v>
      </c>
      <c r="CZ28">
        <f>AE28</f>
        <v>9.1</v>
      </c>
      <c r="DA28">
        <f>AI28</f>
        <v>1</v>
      </c>
      <c r="DB28">
        <f t="shared" si="5"/>
        <v>145.6</v>
      </c>
      <c r="DC28">
        <f t="shared" si="6"/>
        <v>0</v>
      </c>
      <c r="DD28" t="s">
        <v>3</v>
      </c>
      <c r="DE28" t="s">
        <v>3</v>
      </c>
      <c r="DF28">
        <f t="shared" si="0"/>
        <v>16500.849999999999</v>
      </c>
      <c r="DG28">
        <f t="shared" si="1"/>
        <v>0</v>
      </c>
      <c r="DH28">
        <f t="shared" si="2"/>
        <v>0</v>
      </c>
      <c r="DI28">
        <f t="shared" si="3"/>
        <v>0</v>
      </c>
      <c r="DJ28">
        <f>DF28</f>
        <v>16500.849999999999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5">
      <c r="A29">
        <f>ROW(Source!A120)</f>
        <v>120</v>
      </c>
      <c r="B29">
        <v>80891843</v>
      </c>
      <c r="C29">
        <v>80892178</v>
      </c>
      <c r="D29">
        <v>80199986</v>
      </c>
      <c r="E29">
        <v>15514512</v>
      </c>
      <c r="F29">
        <v>1</v>
      </c>
      <c r="G29">
        <v>15514512</v>
      </c>
      <c r="H29">
        <v>1</v>
      </c>
      <c r="I29" t="s">
        <v>174</v>
      </c>
      <c r="J29" t="s">
        <v>3</v>
      </c>
      <c r="K29" t="s">
        <v>175</v>
      </c>
      <c r="L29">
        <v>1191</v>
      </c>
      <c r="N29">
        <v>1013</v>
      </c>
      <c r="O29" t="s">
        <v>176</v>
      </c>
      <c r="P29" t="s">
        <v>176</v>
      </c>
      <c r="Q29">
        <v>1</v>
      </c>
      <c r="W29">
        <v>0</v>
      </c>
      <c r="X29">
        <v>476480486</v>
      </c>
      <c r="Y29">
        <f>(AT29*199)</f>
        <v>9.9500000000000011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0.05</v>
      </c>
      <c r="AU29" t="s">
        <v>147</v>
      </c>
      <c r="AV29">
        <v>1</v>
      </c>
      <c r="AW29">
        <v>2</v>
      </c>
      <c r="AX29">
        <v>80892258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U29">
        <f>ROUND(AT29*Source!I120*AH29*AL29,2)</f>
        <v>0</v>
      </c>
      <c r="CV29">
        <f>ROUND(Y29*Source!I120,9)</f>
        <v>451.06135999999998</v>
      </c>
      <c r="CW29">
        <v>0</v>
      </c>
      <c r="CX29">
        <f>ROUND(Y29*Source!I120,9)</f>
        <v>451.06135999999998</v>
      </c>
      <c r="CY29">
        <f>AD29</f>
        <v>0</v>
      </c>
      <c r="CZ29">
        <f>AH29</f>
        <v>0</v>
      </c>
      <c r="DA29">
        <f>AL29</f>
        <v>1</v>
      </c>
      <c r="DB29">
        <f>ROUND((ROUND(AT29*CZ29,2)*199),6)</f>
        <v>0</v>
      </c>
      <c r="DC29">
        <f>ROUND((ROUND(AT29*AG29,2)*199),6)</f>
        <v>0</v>
      </c>
      <c r="DD29" t="s">
        <v>3</v>
      </c>
      <c r="DE29" t="s">
        <v>3</v>
      </c>
      <c r="DF29">
        <f t="shared" si="0"/>
        <v>0</v>
      </c>
      <c r="DG29">
        <f t="shared" si="1"/>
        <v>0</v>
      </c>
      <c r="DH29">
        <f t="shared" si="2"/>
        <v>0</v>
      </c>
      <c r="DI29">
        <f t="shared" si="3"/>
        <v>0</v>
      </c>
      <c r="DJ29">
        <f>DI29</f>
        <v>0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5">
      <c r="A30">
        <f>ROW(Source!A120)</f>
        <v>120</v>
      </c>
      <c r="B30">
        <v>80891843</v>
      </c>
      <c r="C30">
        <v>80892178</v>
      </c>
      <c r="D30">
        <v>80215861</v>
      </c>
      <c r="E30">
        <v>1</v>
      </c>
      <c r="F30">
        <v>1</v>
      </c>
      <c r="G30">
        <v>15514512</v>
      </c>
      <c r="H30">
        <v>3</v>
      </c>
      <c r="I30" t="s">
        <v>199</v>
      </c>
      <c r="J30" t="s">
        <v>200</v>
      </c>
      <c r="K30" t="s">
        <v>201</v>
      </c>
      <c r="L30">
        <v>1354</v>
      </c>
      <c r="N30">
        <v>1010</v>
      </c>
      <c r="O30" t="s">
        <v>202</v>
      </c>
      <c r="P30" t="s">
        <v>202</v>
      </c>
      <c r="Q30">
        <v>1</v>
      </c>
      <c r="W30">
        <v>0</v>
      </c>
      <c r="X30">
        <v>1239831338</v>
      </c>
      <c r="Y30">
        <f>(AT30*199)</f>
        <v>19.900000000000002</v>
      </c>
      <c r="AA30">
        <v>9.1</v>
      </c>
      <c r="AB30">
        <v>0</v>
      </c>
      <c r="AC30">
        <v>0</v>
      </c>
      <c r="AD30">
        <v>0</v>
      </c>
      <c r="AE30">
        <v>9.1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0.1</v>
      </c>
      <c r="AU30" t="s">
        <v>147</v>
      </c>
      <c r="AV30">
        <v>0</v>
      </c>
      <c r="AW30">
        <v>2</v>
      </c>
      <c r="AX30">
        <v>80892259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ROUND(Y30*Source!I120,9)</f>
        <v>902.12271999999996</v>
      </c>
      <c r="CY30">
        <f>AA30</f>
        <v>9.1</v>
      </c>
      <c r="CZ30">
        <f>AE30</f>
        <v>9.1</v>
      </c>
      <c r="DA30">
        <f>AI30</f>
        <v>1</v>
      </c>
      <c r="DB30">
        <f>ROUND((ROUND(AT30*CZ30,2)*199),6)</f>
        <v>181.09</v>
      </c>
      <c r="DC30">
        <f>ROUND((ROUND(AT30*AG30,2)*199),6)</f>
        <v>0</v>
      </c>
      <c r="DD30" t="s">
        <v>3</v>
      </c>
      <c r="DE30" t="s">
        <v>3</v>
      </c>
      <c r="DF30">
        <f t="shared" si="0"/>
        <v>8209.32</v>
      </c>
      <c r="DG30">
        <f t="shared" si="1"/>
        <v>0</v>
      </c>
      <c r="DH30">
        <f t="shared" si="2"/>
        <v>0</v>
      </c>
      <c r="DI30">
        <f t="shared" si="3"/>
        <v>0</v>
      </c>
      <c r="DJ30">
        <f>DF30</f>
        <v>8209.32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5">
      <c r="A31">
        <f>ROW(Source!A121)</f>
        <v>121</v>
      </c>
      <c r="B31">
        <v>80891843</v>
      </c>
      <c r="C31">
        <v>80892179</v>
      </c>
      <c r="D31">
        <v>80199986</v>
      </c>
      <c r="E31">
        <v>15514512</v>
      </c>
      <c r="F31">
        <v>1</v>
      </c>
      <c r="G31">
        <v>15514512</v>
      </c>
      <c r="H31">
        <v>1</v>
      </c>
      <c r="I31" t="s">
        <v>174</v>
      </c>
      <c r="J31" t="s">
        <v>3</v>
      </c>
      <c r="K31" t="s">
        <v>175</v>
      </c>
      <c r="L31">
        <v>1191</v>
      </c>
      <c r="N31">
        <v>1013</v>
      </c>
      <c r="O31" t="s">
        <v>176</v>
      </c>
      <c r="P31" t="s">
        <v>176</v>
      </c>
      <c r="Q31">
        <v>1</v>
      </c>
      <c r="W31">
        <v>0</v>
      </c>
      <c r="X31">
        <v>476480486</v>
      </c>
      <c r="Y31">
        <f>(AT31*10)</f>
        <v>9.8000000000000007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0.98</v>
      </c>
      <c r="AU31" t="s">
        <v>129</v>
      </c>
      <c r="AV31">
        <v>1</v>
      </c>
      <c r="AW31">
        <v>2</v>
      </c>
      <c r="AX31">
        <v>80892260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U31">
        <f>ROUND(AT31*Source!I121*AH31*AL31,2)</f>
        <v>0</v>
      </c>
      <c r="CV31">
        <f>ROUND(Y31*Source!I121,9)</f>
        <v>2221.3072000000002</v>
      </c>
      <c r="CW31">
        <v>0</v>
      </c>
      <c r="CX31">
        <f>ROUND(Y31*Source!I121,9)</f>
        <v>2221.3072000000002</v>
      </c>
      <c r="CY31">
        <f>AD31</f>
        <v>0</v>
      </c>
      <c r="CZ31">
        <f>AH31</f>
        <v>0</v>
      </c>
      <c r="DA31">
        <f>AL31</f>
        <v>1</v>
      </c>
      <c r="DB31">
        <f>ROUND((ROUND(AT31*CZ31,2)*10),6)</f>
        <v>0</v>
      </c>
      <c r="DC31">
        <f>ROUND((ROUND(AT31*AG31,2)*10),6)</f>
        <v>0</v>
      </c>
      <c r="DD31" t="s">
        <v>3</v>
      </c>
      <c r="DE31" t="s">
        <v>3</v>
      </c>
      <c r="DF31">
        <f t="shared" si="0"/>
        <v>0</v>
      </c>
      <c r="DG31">
        <f t="shared" si="1"/>
        <v>0</v>
      </c>
      <c r="DH31">
        <f t="shared" si="2"/>
        <v>0</v>
      </c>
      <c r="DI31">
        <f t="shared" si="3"/>
        <v>0</v>
      </c>
      <c r="DJ31">
        <f>DI31</f>
        <v>0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5">
      <c r="A32">
        <f>ROW(Source!A121)</f>
        <v>121</v>
      </c>
      <c r="B32">
        <v>80891843</v>
      </c>
      <c r="C32">
        <v>80892179</v>
      </c>
      <c r="D32">
        <v>80213130</v>
      </c>
      <c r="E32">
        <v>1</v>
      </c>
      <c r="F32">
        <v>1</v>
      </c>
      <c r="G32">
        <v>15514512</v>
      </c>
      <c r="H32">
        <v>2</v>
      </c>
      <c r="I32" t="s">
        <v>203</v>
      </c>
      <c r="J32" t="s">
        <v>204</v>
      </c>
      <c r="K32" t="s">
        <v>205</v>
      </c>
      <c r="L32">
        <v>1368</v>
      </c>
      <c r="N32">
        <v>1011</v>
      </c>
      <c r="O32" t="s">
        <v>173</v>
      </c>
      <c r="P32" t="s">
        <v>173</v>
      </c>
      <c r="Q32">
        <v>1</v>
      </c>
      <c r="W32">
        <v>0</v>
      </c>
      <c r="X32">
        <v>398049849</v>
      </c>
      <c r="Y32">
        <f>(AT32*10)</f>
        <v>7.5</v>
      </c>
      <c r="AA32">
        <v>0</v>
      </c>
      <c r="AB32">
        <v>32.590000000000003</v>
      </c>
      <c r="AC32">
        <v>3.28</v>
      </c>
      <c r="AD32">
        <v>0</v>
      </c>
      <c r="AE32">
        <v>0</v>
      </c>
      <c r="AF32">
        <v>32.590000000000003</v>
      </c>
      <c r="AG32">
        <v>3.28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0.75</v>
      </c>
      <c r="AU32" t="s">
        <v>129</v>
      </c>
      <c r="AV32">
        <v>0</v>
      </c>
      <c r="AW32">
        <v>2</v>
      </c>
      <c r="AX32">
        <v>80892261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f>ROUND(Y32*Source!I121*DO32,9)</f>
        <v>0</v>
      </c>
      <c r="CX32">
        <f>ROUND(Y32*Source!I121,9)</f>
        <v>1699.98</v>
      </c>
      <c r="CY32">
        <f>AB32</f>
        <v>32.590000000000003</v>
      </c>
      <c r="CZ32">
        <f>AF32</f>
        <v>32.590000000000003</v>
      </c>
      <c r="DA32">
        <f>AJ32</f>
        <v>1</v>
      </c>
      <c r="DB32">
        <f>ROUND((ROUND(AT32*CZ32,2)*10),6)</f>
        <v>244.4</v>
      </c>
      <c r="DC32">
        <f>ROUND((ROUND(AT32*AG32,2)*10),6)</f>
        <v>24.6</v>
      </c>
      <c r="DD32" t="s">
        <v>3</v>
      </c>
      <c r="DE32" t="s">
        <v>3</v>
      </c>
      <c r="DF32">
        <f t="shared" si="0"/>
        <v>0</v>
      </c>
      <c r="DG32">
        <f t="shared" si="1"/>
        <v>55402.35</v>
      </c>
      <c r="DH32">
        <f t="shared" si="2"/>
        <v>5575.93</v>
      </c>
      <c r="DI32">
        <f t="shared" si="3"/>
        <v>0</v>
      </c>
      <c r="DJ32">
        <f>DG32</f>
        <v>55402.35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5">
      <c r="A33">
        <f>ROW(Source!A122)</f>
        <v>122</v>
      </c>
      <c r="B33">
        <v>80891843</v>
      </c>
      <c r="C33">
        <v>80892180</v>
      </c>
      <c r="D33">
        <v>80199986</v>
      </c>
      <c r="E33">
        <v>15514512</v>
      </c>
      <c r="F33">
        <v>1</v>
      </c>
      <c r="G33">
        <v>15514512</v>
      </c>
      <c r="H33">
        <v>1</v>
      </c>
      <c r="I33" t="s">
        <v>174</v>
      </c>
      <c r="J33" t="s">
        <v>3</v>
      </c>
      <c r="K33" t="s">
        <v>175</v>
      </c>
      <c r="L33">
        <v>1191</v>
      </c>
      <c r="N33">
        <v>1013</v>
      </c>
      <c r="O33" t="s">
        <v>176</v>
      </c>
      <c r="P33" t="s">
        <v>176</v>
      </c>
      <c r="Q33">
        <v>1</v>
      </c>
      <c r="W33">
        <v>0</v>
      </c>
      <c r="X33">
        <v>476480486</v>
      </c>
      <c r="Y33">
        <f>(AT33*10)</f>
        <v>5.6000000000000005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0.56000000000000005</v>
      </c>
      <c r="AU33" t="s">
        <v>129</v>
      </c>
      <c r="AV33">
        <v>1</v>
      </c>
      <c r="AW33">
        <v>2</v>
      </c>
      <c r="AX33">
        <v>80892262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U33">
        <f>ROUND(AT33*Source!I122*AH33*AL33,2)</f>
        <v>0</v>
      </c>
      <c r="CV33">
        <f>ROUND(Y33*Source!I122,9)</f>
        <v>634.64800000000002</v>
      </c>
      <c r="CW33">
        <v>0</v>
      </c>
      <c r="CX33">
        <f>ROUND(Y33*Source!I122,9)</f>
        <v>634.64800000000002</v>
      </c>
      <c r="CY33">
        <f>AD33</f>
        <v>0</v>
      </c>
      <c r="CZ33">
        <f>AH33</f>
        <v>0</v>
      </c>
      <c r="DA33">
        <f>AL33</f>
        <v>1</v>
      </c>
      <c r="DB33">
        <f>ROUND((ROUND(AT33*CZ33,2)*10),6)</f>
        <v>0</v>
      </c>
      <c r="DC33">
        <f>ROUND((ROUND(AT33*AG33,2)*10),6)</f>
        <v>0</v>
      </c>
      <c r="DD33" t="s">
        <v>3</v>
      </c>
      <c r="DE33" t="s">
        <v>3</v>
      </c>
      <c r="DF33">
        <f t="shared" si="0"/>
        <v>0</v>
      </c>
      <c r="DG33">
        <f t="shared" si="1"/>
        <v>0</v>
      </c>
      <c r="DH33">
        <f t="shared" si="2"/>
        <v>0</v>
      </c>
      <c r="DI33">
        <f t="shared" si="3"/>
        <v>0</v>
      </c>
      <c r="DJ33">
        <f>DI33</f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5">
      <c r="A34">
        <f>ROW(Source!A122)</f>
        <v>122</v>
      </c>
      <c r="B34">
        <v>80891843</v>
      </c>
      <c r="C34">
        <v>80892180</v>
      </c>
      <c r="D34">
        <v>80212805</v>
      </c>
      <c r="E34">
        <v>1</v>
      </c>
      <c r="F34">
        <v>1</v>
      </c>
      <c r="G34">
        <v>15514512</v>
      </c>
      <c r="H34">
        <v>2</v>
      </c>
      <c r="I34" t="s">
        <v>206</v>
      </c>
      <c r="J34" t="s">
        <v>207</v>
      </c>
      <c r="K34" t="s">
        <v>208</v>
      </c>
      <c r="L34">
        <v>1368</v>
      </c>
      <c r="N34">
        <v>1011</v>
      </c>
      <c r="O34" t="s">
        <v>173</v>
      </c>
      <c r="P34" t="s">
        <v>173</v>
      </c>
      <c r="Q34">
        <v>1</v>
      </c>
      <c r="W34">
        <v>0</v>
      </c>
      <c r="X34">
        <v>-1652508930</v>
      </c>
      <c r="Y34">
        <f>(AT34*10)</f>
        <v>3</v>
      </c>
      <c r="AA34">
        <v>0</v>
      </c>
      <c r="AB34">
        <v>2997.56</v>
      </c>
      <c r="AC34">
        <v>1034.8599999999999</v>
      </c>
      <c r="AD34">
        <v>0</v>
      </c>
      <c r="AE34">
        <v>0</v>
      </c>
      <c r="AF34">
        <v>2997.56</v>
      </c>
      <c r="AG34">
        <v>1034.8599999999999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0.3</v>
      </c>
      <c r="AU34" t="s">
        <v>129</v>
      </c>
      <c r="AV34">
        <v>0</v>
      </c>
      <c r="AW34">
        <v>2</v>
      </c>
      <c r="AX34">
        <v>80892263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f>ROUND(Y34*Source!I122*DO34,9)</f>
        <v>0</v>
      </c>
      <c r="CX34">
        <f>ROUND(Y34*Source!I122,9)</f>
        <v>339.99</v>
      </c>
      <c r="CY34">
        <f>AB34</f>
        <v>2997.56</v>
      </c>
      <c r="CZ34">
        <f>AF34</f>
        <v>2997.56</v>
      </c>
      <c r="DA34">
        <f>AJ34</f>
        <v>1</v>
      </c>
      <c r="DB34">
        <f>ROUND((ROUND(AT34*CZ34,2)*10),6)</f>
        <v>8992.7000000000007</v>
      </c>
      <c r="DC34">
        <f>ROUND((ROUND(AT34*AG34,2)*10),6)</f>
        <v>3104.6</v>
      </c>
      <c r="DD34" t="s">
        <v>3</v>
      </c>
      <c r="DE34" t="s">
        <v>3</v>
      </c>
      <c r="DF34">
        <f t="shared" si="0"/>
        <v>0</v>
      </c>
      <c r="DG34">
        <f t="shared" si="1"/>
        <v>1019140.42</v>
      </c>
      <c r="DH34">
        <f t="shared" si="2"/>
        <v>351842.05</v>
      </c>
      <c r="DI34">
        <f t="shared" si="3"/>
        <v>0</v>
      </c>
      <c r="DJ34">
        <f>DG34</f>
        <v>1019140.42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5">
      <c r="A35">
        <f>ROW(Source!A122)</f>
        <v>122</v>
      </c>
      <c r="B35">
        <v>80891843</v>
      </c>
      <c r="C35">
        <v>80892180</v>
      </c>
      <c r="D35">
        <v>80215470</v>
      </c>
      <c r="E35">
        <v>1</v>
      </c>
      <c r="F35">
        <v>1</v>
      </c>
      <c r="G35">
        <v>15514512</v>
      </c>
      <c r="H35">
        <v>3</v>
      </c>
      <c r="I35" t="s">
        <v>37</v>
      </c>
      <c r="J35" t="s">
        <v>40</v>
      </c>
      <c r="K35" t="s">
        <v>38</v>
      </c>
      <c r="L35">
        <v>1339</v>
      </c>
      <c r="N35">
        <v>1007</v>
      </c>
      <c r="O35" t="s">
        <v>39</v>
      </c>
      <c r="P35" t="s">
        <v>39</v>
      </c>
      <c r="Q35">
        <v>1</v>
      </c>
      <c r="W35">
        <v>1</v>
      </c>
      <c r="X35">
        <v>2112060389</v>
      </c>
      <c r="Y35">
        <f>(AT35*10)</f>
        <v>-10</v>
      </c>
      <c r="AA35">
        <v>54.81</v>
      </c>
      <c r="AB35">
        <v>0</v>
      </c>
      <c r="AC35">
        <v>0</v>
      </c>
      <c r="AD35">
        <v>0</v>
      </c>
      <c r="AE35">
        <v>54.81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-1</v>
      </c>
      <c r="AU35" t="s">
        <v>129</v>
      </c>
      <c r="AV35">
        <v>0</v>
      </c>
      <c r="AW35">
        <v>2</v>
      </c>
      <c r="AX35">
        <v>80892264</v>
      </c>
      <c r="AY35">
        <v>1</v>
      </c>
      <c r="AZ35">
        <v>6144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ROUND(Y35*Source!I122,9)</f>
        <v>-1133.3</v>
      </c>
      <c r="CY35">
        <f>AA35</f>
        <v>54.81</v>
      </c>
      <c r="CZ35">
        <f>AE35</f>
        <v>54.81</v>
      </c>
      <c r="DA35">
        <f>AI35</f>
        <v>1</v>
      </c>
      <c r="DB35">
        <f>ROUND((ROUND(AT35*CZ35,2)*10),6)</f>
        <v>-548.1</v>
      </c>
      <c r="DC35">
        <f>ROUND((ROUND(AT35*AG35,2)*10),6)</f>
        <v>0</v>
      </c>
      <c r="DD35" t="s">
        <v>3</v>
      </c>
      <c r="DE35" t="s">
        <v>3</v>
      </c>
      <c r="DF35">
        <f t="shared" si="0"/>
        <v>-62116.17</v>
      </c>
      <c r="DG35">
        <f t="shared" si="1"/>
        <v>0</v>
      </c>
      <c r="DH35">
        <f t="shared" si="2"/>
        <v>0</v>
      </c>
      <c r="DI35">
        <f t="shared" si="3"/>
        <v>0</v>
      </c>
      <c r="DJ35">
        <f>DF35</f>
        <v>-62116.17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5">
      <c r="A36">
        <f>ROW(Source!A124)</f>
        <v>124</v>
      </c>
      <c r="B36">
        <v>80891843</v>
      </c>
      <c r="C36">
        <v>80892181</v>
      </c>
      <c r="D36">
        <v>80199986</v>
      </c>
      <c r="E36">
        <v>15514512</v>
      </c>
      <c r="F36">
        <v>1</v>
      </c>
      <c r="G36">
        <v>15514512</v>
      </c>
      <c r="H36">
        <v>1</v>
      </c>
      <c r="I36" t="s">
        <v>174</v>
      </c>
      <c r="J36" t="s">
        <v>3</v>
      </c>
      <c r="K36" t="s">
        <v>175</v>
      </c>
      <c r="L36">
        <v>1191</v>
      </c>
      <c r="N36">
        <v>1013</v>
      </c>
      <c r="O36" t="s">
        <v>176</v>
      </c>
      <c r="P36" t="s">
        <v>176</v>
      </c>
      <c r="Q36">
        <v>1</v>
      </c>
      <c r="W36">
        <v>0</v>
      </c>
      <c r="X36">
        <v>476480486</v>
      </c>
      <c r="Y36">
        <f>AT36</f>
        <v>0.7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0.7</v>
      </c>
      <c r="AU36" t="s">
        <v>3</v>
      </c>
      <c r="AV36">
        <v>1</v>
      </c>
      <c r="AW36">
        <v>2</v>
      </c>
      <c r="AX36">
        <v>80892265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U36">
        <f>ROUND(AT36*Source!I124*AH36*AL36,2)</f>
        <v>0</v>
      </c>
      <c r="CV36">
        <f>ROUND(Y36*Source!I124,9)</f>
        <v>158.66480000000001</v>
      </c>
      <c r="CW36">
        <v>0</v>
      </c>
      <c r="CX36">
        <f>ROUND(Y36*Source!I124,9)</f>
        <v>158.66480000000001</v>
      </c>
      <c r="CY36">
        <f>AD36</f>
        <v>0</v>
      </c>
      <c r="CZ36">
        <f>AH36</f>
        <v>0</v>
      </c>
      <c r="DA36">
        <f>AL36</f>
        <v>1</v>
      </c>
      <c r="DB36">
        <f>ROUND(ROUND(AT36*CZ36,2),6)</f>
        <v>0</v>
      </c>
      <c r="DC36">
        <f>ROUND(ROUND(AT36*AG36,2),6)</f>
        <v>0</v>
      </c>
      <c r="DD36" t="s">
        <v>3</v>
      </c>
      <c r="DE36" t="s">
        <v>3</v>
      </c>
      <c r="DF36">
        <f t="shared" si="0"/>
        <v>0</v>
      </c>
      <c r="DG36">
        <f t="shared" si="1"/>
        <v>0</v>
      </c>
      <c r="DH36">
        <f t="shared" si="2"/>
        <v>0</v>
      </c>
      <c r="DI36">
        <f t="shared" si="3"/>
        <v>0</v>
      </c>
      <c r="DJ36">
        <f>DI36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5">
      <c r="A37">
        <f>ROW(Source!A124)</f>
        <v>124</v>
      </c>
      <c r="B37">
        <v>80891843</v>
      </c>
      <c r="C37">
        <v>80892181</v>
      </c>
      <c r="D37">
        <v>80217208</v>
      </c>
      <c r="E37">
        <v>1</v>
      </c>
      <c r="F37">
        <v>1</v>
      </c>
      <c r="G37">
        <v>15514512</v>
      </c>
      <c r="H37">
        <v>3</v>
      </c>
      <c r="I37" t="s">
        <v>158</v>
      </c>
      <c r="J37" t="s">
        <v>161</v>
      </c>
      <c r="K37" t="s">
        <v>159</v>
      </c>
      <c r="L37">
        <v>1346</v>
      </c>
      <c r="N37">
        <v>1009</v>
      </c>
      <c r="O37" t="s">
        <v>160</v>
      </c>
      <c r="P37" t="s">
        <v>160</v>
      </c>
      <c r="Q37">
        <v>1</v>
      </c>
      <c r="W37">
        <v>0</v>
      </c>
      <c r="X37">
        <v>-606801753</v>
      </c>
      <c r="Y37">
        <f>AT37</f>
        <v>5</v>
      </c>
      <c r="AA37">
        <v>109.62</v>
      </c>
      <c r="AB37">
        <v>0</v>
      </c>
      <c r="AC37">
        <v>0</v>
      </c>
      <c r="AD37">
        <v>0</v>
      </c>
      <c r="AE37">
        <v>109.62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0</v>
      </c>
      <c r="AN37">
        <v>0</v>
      </c>
      <c r="AO37">
        <v>0</v>
      </c>
      <c r="AP37">
        <v>1</v>
      </c>
      <c r="AQ37">
        <v>0</v>
      </c>
      <c r="AR37">
        <v>0</v>
      </c>
      <c r="AS37" t="s">
        <v>3</v>
      </c>
      <c r="AT37">
        <v>5</v>
      </c>
      <c r="AU37" t="s">
        <v>3</v>
      </c>
      <c r="AV37">
        <v>0</v>
      </c>
      <c r="AW37">
        <v>1</v>
      </c>
      <c r="AX37">
        <v>-1</v>
      </c>
      <c r="AY37">
        <v>0</v>
      </c>
      <c r="AZ37">
        <v>0</v>
      </c>
      <c r="BA37" t="s">
        <v>3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ROUND(Y37*Source!I124,9)</f>
        <v>1133.32</v>
      </c>
      <c r="CY37">
        <f>AA37</f>
        <v>109.62</v>
      </c>
      <c r="CZ37">
        <f>AE37</f>
        <v>109.62</v>
      </c>
      <c r="DA37">
        <f>AI37</f>
        <v>1</v>
      </c>
      <c r="DB37">
        <f>ROUND(ROUND(AT37*CZ37,2),6)</f>
        <v>548.1</v>
      </c>
      <c r="DC37">
        <f>ROUND(ROUND(AT37*AG37,2),6)</f>
        <v>0</v>
      </c>
      <c r="DD37" t="s">
        <v>3</v>
      </c>
      <c r="DE37" t="s">
        <v>3</v>
      </c>
      <c r="DF37">
        <f t="shared" si="0"/>
        <v>124234.54</v>
      </c>
      <c r="DG37">
        <f t="shared" si="1"/>
        <v>0</v>
      </c>
      <c r="DH37">
        <f t="shared" si="2"/>
        <v>0</v>
      </c>
      <c r="DI37">
        <f t="shared" si="3"/>
        <v>0</v>
      </c>
      <c r="DJ37">
        <f>DF37</f>
        <v>124234.54</v>
      </c>
      <c r="DK37">
        <v>0</v>
      </c>
      <c r="DL37" t="s">
        <v>3</v>
      </c>
      <c r="DM37">
        <v>0</v>
      </c>
      <c r="DN37" t="s">
        <v>3</v>
      </c>
      <c r="DO3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D8268-03A4-40A5-92E3-148CE6502056}">
  <dimension ref="A1:AR37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44" x14ac:dyDescent="0.25">
      <c r="A1">
        <f>ROW(Source!A32)</f>
        <v>32</v>
      </c>
      <c r="B1">
        <v>80892223</v>
      </c>
      <c r="C1">
        <v>80892030</v>
      </c>
      <c r="D1">
        <v>80213220</v>
      </c>
      <c r="E1">
        <v>1</v>
      </c>
      <c r="F1">
        <v>1</v>
      </c>
      <c r="G1">
        <v>15514512</v>
      </c>
      <c r="H1">
        <v>2</v>
      </c>
      <c r="I1" t="s">
        <v>170</v>
      </c>
      <c r="J1" t="s">
        <v>171</v>
      </c>
      <c r="K1" t="s">
        <v>172</v>
      </c>
      <c r="L1">
        <v>1368</v>
      </c>
      <c r="N1">
        <v>1011</v>
      </c>
      <c r="O1" t="s">
        <v>173</v>
      </c>
      <c r="P1" t="s">
        <v>173</v>
      </c>
      <c r="Q1">
        <v>1</v>
      </c>
      <c r="X1">
        <v>0.5</v>
      </c>
      <c r="Y1">
        <v>0</v>
      </c>
      <c r="Z1">
        <v>2515.98</v>
      </c>
      <c r="AA1">
        <v>872.98</v>
      </c>
      <c r="AB1">
        <v>0</v>
      </c>
      <c r="AC1">
        <v>0</v>
      </c>
      <c r="AD1">
        <v>1</v>
      </c>
      <c r="AE1">
        <v>0</v>
      </c>
      <c r="AF1" t="s">
        <v>22</v>
      </c>
      <c r="AG1">
        <v>10</v>
      </c>
      <c r="AH1">
        <v>2</v>
      </c>
      <c r="AI1">
        <v>80892223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5">
      <c r="A2">
        <f>ROW(Source!A33)</f>
        <v>33</v>
      </c>
      <c r="B2">
        <v>80892224</v>
      </c>
      <c r="C2">
        <v>80892031</v>
      </c>
      <c r="D2">
        <v>80199986</v>
      </c>
      <c r="E2">
        <v>15514512</v>
      </c>
      <c r="F2">
        <v>1</v>
      </c>
      <c r="G2">
        <v>15514512</v>
      </c>
      <c r="H2">
        <v>1</v>
      </c>
      <c r="I2" t="s">
        <v>174</v>
      </c>
      <c r="J2" t="s">
        <v>3</v>
      </c>
      <c r="K2" t="s">
        <v>175</v>
      </c>
      <c r="L2">
        <v>1191</v>
      </c>
      <c r="N2">
        <v>1013</v>
      </c>
      <c r="O2" t="s">
        <v>176</v>
      </c>
      <c r="P2" t="s">
        <v>176</v>
      </c>
      <c r="Q2">
        <v>1</v>
      </c>
      <c r="X2">
        <v>0.65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22</v>
      </c>
      <c r="AG2">
        <v>13</v>
      </c>
      <c r="AH2">
        <v>2</v>
      </c>
      <c r="AI2">
        <v>80892224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5">
      <c r="A3">
        <f>ROW(Source!A34)</f>
        <v>34</v>
      </c>
      <c r="B3">
        <v>80892230</v>
      </c>
      <c r="C3">
        <v>80892227</v>
      </c>
      <c r="D3">
        <v>80213221</v>
      </c>
      <c r="E3">
        <v>1</v>
      </c>
      <c r="F3">
        <v>1</v>
      </c>
      <c r="G3">
        <v>15514512</v>
      </c>
      <c r="H3">
        <v>2</v>
      </c>
      <c r="I3" t="s">
        <v>177</v>
      </c>
      <c r="J3" t="s">
        <v>178</v>
      </c>
      <c r="K3" t="s">
        <v>179</v>
      </c>
      <c r="L3">
        <v>1368</v>
      </c>
      <c r="N3">
        <v>1011</v>
      </c>
      <c r="O3" t="s">
        <v>173</v>
      </c>
      <c r="P3" t="s">
        <v>173</v>
      </c>
      <c r="Q3">
        <v>1</v>
      </c>
      <c r="X3">
        <v>0.26</v>
      </c>
      <c r="Y3">
        <v>0</v>
      </c>
      <c r="Z3">
        <v>1783.28</v>
      </c>
      <c r="AA3">
        <v>842.87</v>
      </c>
      <c r="AB3">
        <v>0</v>
      </c>
      <c r="AC3">
        <v>0</v>
      </c>
      <c r="AD3">
        <v>1</v>
      </c>
      <c r="AE3">
        <v>0</v>
      </c>
      <c r="AF3" t="s">
        <v>35</v>
      </c>
      <c r="AG3">
        <v>13</v>
      </c>
      <c r="AH3">
        <v>2</v>
      </c>
      <c r="AI3">
        <v>80892228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5">
      <c r="A4">
        <f>ROW(Source!A34)</f>
        <v>34</v>
      </c>
      <c r="B4">
        <v>80892231</v>
      </c>
      <c r="C4">
        <v>80892227</v>
      </c>
      <c r="D4">
        <v>80215470</v>
      </c>
      <c r="E4">
        <v>1</v>
      </c>
      <c r="F4">
        <v>1</v>
      </c>
      <c r="G4">
        <v>15514512</v>
      </c>
      <c r="H4">
        <v>3</v>
      </c>
      <c r="I4" t="s">
        <v>37</v>
      </c>
      <c r="J4" t="s">
        <v>40</v>
      </c>
      <c r="K4" t="s">
        <v>38</v>
      </c>
      <c r="L4">
        <v>1339</v>
      </c>
      <c r="N4">
        <v>1007</v>
      </c>
      <c r="O4" t="s">
        <v>39</v>
      </c>
      <c r="P4" t="s">
        <v>39</v>
      </c>
      <c r="Q4">
        <v>1</v>
      </c>
      <c r="X4">
        <v>0.2</v>
      </c>
      <c r="Y4">
        <v>54.81</v>
      </c>
      <c r="Z4">
        <v>0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35</v>
      </c>
      <c r="AG4">
        <v>10</v>
      </c>
      <c r="AH4">
        <v>2</v>
      </c>
      <c r="AI4">
        <v>80892229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5">
      <c r="A5">
        <f>ROW(Source!A36)</f>
        <v>36</v>
      </c>
      <c r="B5">
        <v>80892233</v>
      </c>
      <c r="C5">
        <v>80892033</v>
      </c>
      <c r="D5">
        <v>80199986</v>
      </c>
      <c r="E5">
        <v>15514512</v>
      </c>
      <c r="F5">
        <v>1</v>
      </c>
      <c r="G5">
        <v>15514512</v>
      </c>
      <c r="H5">
        <v>1</v>
      </c>
      <c r="I5" t="s">
        <v>174</v>
      </c>
      <c r="J5" t="s">
        <v>3</v>
      </c>
      <c r="K5" t="s">
        <v>175</v>
      </c>
      <c r="L5">
        <v>1191</v>
      </c>
      <c r="N5">
        <v>1013</v>
      </c>
      <c r="O5" t="s">
        <v>176</v>
      </c>
      <c r="P5" t="s">
        <v>176</v>
      </c>
      <c r="Q5">
        <v>1</v>
      </c>
      <c r="X5">
        <v>0.14000000000000001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35</v>
      </c>
      <c r="AG5">
        <v>7.0000000000000009</v>
      </c>
      <c r="AH5">
        <v>2</v>
      </c>
      <c r="AI5">
        <v>80892233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5">
      <c r="A6">
        <f>ROW(Source!A37)</f>
        <v>37</v>
      </c>
      <c r="B6">
        <v>80892234</v>
      </c>
      <c r="C6">
        <v>80892037</v>
      </c>
      <c r="D6">
        <v>80199986</v>
      </c>
      <c r="E6">
        <v>15514512</v>
      </c>
      <c r="F6">
        <v>1</v>
      </c>
      <c r="G6">
        <v>15514512</v>
      </c>
      <c r="H6">
        <v>1</v>
      </c>
      <c r="I6" t="s">
        <v>174</v>
      </c>
      <c r="J6" t="s">
        <v>3</v>
      </c>
      <c r="K6" t="s">
        <v>175</v>
      </c>
      <c r="L6">
        <v>1191</v>
      </c>
      <c r="N6">
        <v>1013</v>
      </c>
      <c r="O6" t="s">
        <v>176</v>
      </c>
      <c r="P6" t="s">
        <v>176</v>
      </c>
      <c r="Q6">
        <v>1</v>
      </c>
      <c r="X6">
        <v>0.3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1</v>
      </c>
      <c r="AF6" t="s">
        <v>49</v>
      </c>
      <c r="AG6">
        <v>4.5</v>
      </c>
      <c r="AH6">
        <v>2</v>
      </c>
      <c r="AI6">
        <v>80892234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5">
      <c r="A7">
        <f>ROW(Source!A37)</f>
        <v>37</v>
      </c>
      <c r="B7">
        <v>80892235</v>
      </c>
      <c r="C7">
        <v>80892037</v>
      </c>
      <c r="D7">
        <v>80216195</v>
      </c>
      <c r="E7">
        <v>1</v>
      </c>
      <c r="F7">
        <v>1</v>
      </c>
      <c r="G7">
        <v>15514512</v>
      </c>
      <c r="H7">
        <v>3</v>
      </c>
      <c r="I7" t="s">
        <v>180</v>
      </c>
      <c r="J7" t="s">
        <v>181</v>
      </c>
      <c r="K7" t="s">
        <v>182</v>
      </c>
      <c r="L7">
        <v>1346</v>
      </c>
      <c r="N7">
        <v>1009</v>
      </c>
      <c r="O7" t="s">
        <v>160</v>
      </c>
      <c r="P7" t="s">
        <v>160</v>
      </c>
      <c r="Q7">
        <v>1</v>
      </c>
      <c r="X7">
        <v>5</v>
      </c>
      <c r="Y7">
        <v>27.3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49</v>
      </c>
      <c r="AG7">
        <v>75</v>
      </c>
      <c r="AH7">
        <v>2</v>
      </c>
      <c r="AI7">
        <v>80892235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5">
      <c r="A8">
        <f>ROW(Source!A38)</f>
        <v>38</v>
      </c>
      <c r="B8">
        <v>80892236</v>
      </c>
      <c r="C8">
        <v>80892038</v>
      </c>
      <c r="D8">
        <v>80199986</v>
      </c>
      <c r="E8">
        <v>15514512</v>
      </c>
      <c r="F8">
        <v>1</v>
      </c>
      <c r="G8">
        <v>15514512</v>
      </c>
      <c r="H8">
        <v>1</v>
      </c>
      <c r="I8" t="s">
        <v>174</v>
      </c>
      <c r="J8" t="s">
        <v>3</v>
      </c>
      <c r="K8" t="s">
        <v>175</v>
      </c>
      <c r="L8">
        <v>1191</v>
      </c>
      <c r="N8">
        <v>1013</v>
      </c>
      <c r="O8" t="s">
        <v>176</v>
      </c>
      <c r="P8" t="s">
        <v>176</v>
      </c>
      <c r="Q8">
        <v>1</v>
      </c>
      <c r="X8">
        <v>0.02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1</v>
      </c>
      <c r="AF8" t="s">
        <v>49</v>
      </c>
      <c r="AG8">
        <v>0.3</v>
      </c>
      <c r="AH8">
        <v>2</v>
      </c>
      <c r="AI8">
        <v>80892236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5">
      <c r="A9">
        <f>ROW(Source!A38)</f>
        <v>38</v>
      </c>
      <c r="B9">
        <v>80892237</v>
      </c>
      <c r="C9">
        <v>80892038</v>
      </c>
      <c r="D9">
        <v>80213219</v>
      </c>
      <c r="E9">
        <v>1</v>
      </c>
      <c r="F9">
        <v>1</v>
      </c>
      <c r="G9">
        <v>15514512</v>
      </c>
      <c r="H9">
        <v>2</v>
      </c>
      <c r="I9" t="s">
        <v>183</v>
      </c>
      <c r="J9" t="s">
        <v>184</v>
      </c>
      <c r="K9" t="s">
        <v>185</v>
      </c>
      <c r="L9">
        <v>1368</v>
      </c>
      <c r="N9">
        <v>1011</v>
      </c>
      <c r="O9" t="s">
        <v>173</v>
      </c>
      <c r="P9" t="s">
        <v>173</v>
      </c>
      <c r="Q9">
        <v>1</v>
      </c>
      <c r="X9">
        <v>0.08</v>
      </c>
      <c r="Y9">
        <v>0</v>
      </c>
      <c r="Z9">
        <v>1988.28</v>
      </c>
      <c r="AA9">
        <v>838.86</v>
      </c>
      <c r="AB9">
        <v>0</v>
      </c>
      <c r="AC9">
        <v>0</v>
      </c>
      <c r="AD9">
        <v>1</v>
      </c>
      <c r="AE9">
        <v>0</v>
      </c>
      <c r="AF9" t="s">
        <v>49</v>
      </c>
      <c r="AG9">
        <v>1.2</v>
      </c>
      <c r="AH9">
        <v>2</v>
      </c>
      <c r="AI9">
        <v>80892237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5">
      <c r="A10">
        <f>ROW(Source!A38)</f>
        <v>38</v>
      </c>
      <c r="B10">
        <v>80892238</v>
      </c>
      <c r="C10">
        <v>80892038</v>
      </c>
      <c r="D10">
        <v>80216195</v>
      </c>
      <c r="E10">
        <v>1</v>
      </c>
      <c r="F10">
        <v>1</v>
      </c>
      <c r="G10">
        <v>15514512</v>
      </c>
      <c r="H10">
        <v>3</v>
      </c>
      <c r="I10" t="s">
        <v>180</v>
      </c>
      <c r="J10" t="s">
        <v>181</v>
      </c>
      <c r="K10" t="s">
        <v>182</v>
      </c>
      <c r="L10">
        <v>1346</v>
      </c>
      <c r="N10">
        <v>1009</v>
      </c>
      <c r="O10" t="s">
        <v>160</v>
      </c>
      <c r="P10" t="s">
        <v>160</v>
      </c>
      <c r="Q10">
        <v>1</v>
      </c>
      <c r="X10">
        <v>50</v>
      </c>
      <c r="Y10">
        <v>27.3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49</v>
      </c>
      <c r="AG10">
        <v>750</v>
      </c>
      <c r="AH10">
        <v>2</v>
      </c>
      <c r="AI10">
        <v>80892238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5">
      <c r="A11">
        <f>ROW(Source!A39)</f>
        <v>39</v>
      </c>
      <c r="B11">
        <v>80892239</v>
      </c>
      <c r="C11">
        <v>80892039</v>
      </c>
      <c r="D11">
        <v>80199986</v>
      </c>
      <c r="E11">
        <v>15514512</v>
      </c>
      <c r="F11">
        <v>1</v>
      </c>
      <c r="G11">
        <v>15514512</v>
      </c>
      <c r="H11">
        <v>1</v>
      </c>
      <c r="I11" t="s">
        <v>174</v>
      </c>
      <c r="J11" t="s">
        <v>3</v>
      </c>
      <c r="K11" t="s">
        <v>175</v>
      </c>
      <c r="L11">
        <v>1191</v>
      </c>
      <c r="N11">
        <v>1013</v>
      </c>
      <c r="O11" t="s">
        <v>176</v>
      </c>
      <c r="P11" t="s">
        <v>176</v>
      </c>
      <c r="Q11">
        <v>1</v>
      </c>
      <c r="X11">
        <v>2.41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1</v>
      </c>
      <c r="AF11" t="s">
        <v>58</v>
      </c>
      <c r="AG11">
        <v>12.05</v>
      </c>
      <c r="AH11">
        <v>2</v>
      </c>
      <c r="AI11">
        <v>80892239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5">
      <c r="A12">
        <f>ROW(Source!A40)</f>
        <v>40</v>
      </c>
      <c r="B12">
        <v>80892240</v>
      </c>
      <c r="C12">
        <v>80892040</v>
      </c>
      <c r="D12">
        <v>80199986</v>
      </c>
      <c r="E12">
        <v>15514512</v>
      </c>
      <c r="F12">
        <v>1</v>
      </c>
      <c r="G12">
        <v>15514512</v>
      </c>
      <c r="H12">
        <v>1</v>
      </c>
      <c r="I12" t="s">
        <v>174</v>
      </c>
      <c r="J12" t="s">
        <v>3</v>
      </c>
      <c r="K12" t="s">
        <v>175</v>
      </c>
      <c r="L12">
        <v>1191</v>
      </c>
      <c r="N12">
        <v>1013</v>
      </c>
      <c r="O12" t="s">
        <v>176</v>
      </c>
      <c r="P12" t="s">
        <v>176</v>
      </c>
      <c r="Q12">
        <v>1</v>
      </c>
      <c r="X12">
        <v>0.37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3</v>
      </c>
      <c r="AG12">
        <v>0.37</v>
      </c>
      <c r="AH12">
        <v>2</v>
      </c>
      <c r="AI12">
        <v>80892240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5">
      <c r="A13">
        <f>ROW(Source!A40)</f>
        <v>40</v>
      </c>
      <c r="B13">
        <v>80892241</v>
      </c>
      <c r="C13">
        <v>80892040</v>
      </c>
      <c r="D13">
        <v>80212784</v>
      </c>
      <c r="E13">
        <v>1</v>
      </c>
      <c r="F13">
        <v>1</v>
      </c>
      <c r="G13">
        <v>15514512</v>
      </c>
      <c r="H13">
        <v>2</v>
      </c>
      <c r="I13" t="s">
        <v>186</v>
      </c>
      <c r="J13" t="s">
        <v>187</v>
      </c>
      <c r="K13" t="s">
        <v>188</v>
      </c>
      <c r="L13">
        <v>1368</v>
      </c>
      <c r="N13">
        <v>1011</v>
      </c>
      <c r="O13" t="s">
        <v>173</v>
      </c>
      <c r="P13" t="s">
        <v>173</v>
      </c>
      <c r="Q13">
        <v>1</v>
      </c>
      <c r="X13">
        <v>0.34</v>
      </c>
      <c r="Y13">
        <v>0</v>
      </c>
      <c r="Z13">
        <v>2097.0700000000002</v>
      </c>
      <c r="AA13">
        <v>1028.7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0.34</v>
      </c>
      <c r="AH13">
        <v>2</v>
      </c>
      <c r="AI13">
        <v>80892241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5">
      <c r="A14">
        <f>ROW(Source!A41)</f>
        <v>41</v>
      </c>
      <c r="B14">
        <v>80892242</v>
      </c>
      <c r="C14">
        <v>80892041</v>
      </c>
      <c r="D14">
        <v>80212784</v>
      </c>
      <c r="E14">
        <v>1</v>
      </c>
      <c r="F14">
        <v>1</v>
      </c>
      <c r="G14">
        <v>15514512</v>
      </c>
      <c r="H14">
        <v>2</v>
      </c>
      <c r="I14" t="s">
        <v>186</v>
      </c>
      <c r="J14" t="s">
        <v>187</v>
      </c>
      <c r="K14" t="s">
        <v>188</v>
      </c>
      <c r="L14">
        <v>1368</v>
      </c>
      <c r="N14">
        <v>1011</v>
      </c>
      <c r="O14" t="s">
        <v>173</v>
      </c>
      <c r="P14" t="s">
        <v>173</v>
      </c>
      <c r="Q14">
        <v>1</v>
      </c>
      <c r="X14">
        <v>0.09</v>
      </c>
      <c r="Y14">
        <v>0</v>
      </c>
      <c r="Z14">
        <v>2097.0700000000002</v>
      </c>
      <c r="AA14">
        <v>1028.7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0.09</v>
      </c>
      <c r="AH14">
        <v>2</v>
      </c>
      <c r="AI14">
        <v>80892242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5">
      <c r="A15">
        <f>ROW(Source!A77)</f>
        <v>77</v>
      </c>
      <c r="B15">
        <v>80892243</v>
      </c>
      <c r="C15">
        <v>80892105</v>
      </c>
      <c r="D15">
        <v>80213221</v>
      </c>
      <c r="E15">
        <v>1</v>
      </c>
      <c r="F15">
        <v>1</v>
      </c>
      <c r="G15">
        <v>15514512</v>
      </c>
      <c r="H15">
        <v>2</v>
      </c>
      <c r="I15" t="s">
        <v>177</v>
      </c>
      <c r="J15" t="s">
        <v>178</v>
      </c>
      <c r="K15" t="s">
        <v>179</v>
      </c>
      <c r="L15">
        <v>1368</v>
      </c>
      <c r="N15">
        <v>1011</v>
      </c>
      <c r="O15" t="s">
        <v>173</v>
      </c>
      <c r="P15" t="s">
        <v>173</v>
      </c>
      <c r="Q15">
        <v>1</v>
      </c>
      <c r="X15">
        <v>0.26</v>
      </c>
      <c r="Y15">
        <v>0</v>
      </c>
      <c r="Z15">
        <v>1783.28</v>
      </c>
      <c r="AA15">
        <v>842.87</v>
      </c>
      <c r="AB15">
        <v>0</v>
      </c>
      <c r="AC15">
        <v>0</v>
      </c>
      <c r="AD15">
        <v>1</v>
      </c>
      <c r="AE15">
        <v>0</v>
      </c>
      <c r="AF15" t="s">
        <v>122</v>
      </c>
      <c r="AG15">
        <v>14.82</v>
      </c>
      <c r="AH15">
        <v>2</v>
      </c>
      <c r="AI15">
        <v>80892243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5">
      <c r="A16">
        <f>ROW(Source!A77)</f>
        <v>77</v>
      </c>
      <c r="B16">
        <v>80892244</v>
      </c>
      <c r="C16">
        <v>80892105</v>
      </c>
      <c r="D16">
        <v>80215470</v>
      </c>
      <c r="E16">
        <v>1</v>
      </c>
      <c r="F16">
        <v>1</v>
      </c>
      <c r="G16">
        <v>15514512</v>
      </c>
      <c r="H16">
        <v>3</v>
      </c>
      <c r="I16" t="s">
        <v>37</v>
      </c>
      <c r="J16" t="s">
        <v>40</v>
      </c>
      <c r="K16" t="s">
        <v>38</v>
      </c>
      <c r="L16">
        <v>1339</v>
      </c>
      <c r="N16">
        <v>1007</v>
      </c>
      <c r="O16" t="s">
        <v>39</v>
      </c>
      <c r="P16" t="s">
        <v>39</v>
      </c>
      <c r="Q16">
        <v>1</v>
      </c>
      <c r="X16">
        <v>0.2</v>
      </c>
      <c r="Y16">
        <v>54.81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122</v>
      </c>
      <c r="AG16">
        <v>11.4</v>
      </c>
      <c r="AH16">
        <v>2</v>
      </c>
      <c r="AI16">
        <v>80892244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5">
      <c r="A17">
        <f>ROW(Source!A79)</f>
        <v>79</v>
      </c>
      <c r="B17">
        <v>80892246</v>
      </c>
      <c r="C17">
        <v>80892106</v>
      </c>
      <c r="D17">
        <v>80199986</v>
      </c>
      <c r="E17">
        <v>15514512</v>
      </c>
      <c r="F17">
        <v>1</v>
      </c>
      <c r="G17">
        <v>15514512</v>
      </c>
      <c r="H17">
        <v>1</v>
      </c>
      <c r="I17" t="s">
        <v>174</v>
      </c>
      <c r="J17" t="s">
        <v>3</v>
      </c>
      <c r="K17" t="s">
        <v>175</v>
      </c>
      <c r="L17">
        <v>1191</v>
      </c>
      <c r="N17">
        <v>1013</v>
      </c>
      <c r="O17" t="s">
        <v>176</v>
      </c>
      <c r="P17" t="s">
        <v>176</v>
      </c>
      <c r="Q17">
        <v>1</v>
      </c>
      <c r="X17">
        <v>0.14000000000000001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122</v>
      </c>
      <c r="AG17">
        <v>7.98</v>
      </c>
      <c r="AH17">
        <v>2</v>
      </c>
      <c r="AI17">
        <v>80892246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5">
      <c r="A18">
        <f>ROW(Source!A80)</f>
        <v>80</v>
      </c>
      <c r="B18">
        <v>80892247</v>
      </c>
      <c r="C18">
        <v>80892109</v>
      </c>
      <c r="D18">
        <v>80213221</v>
      </c>
      <c r="E18">
        <v>1</v>
      </c>
      <c r="F18">
        <v>1</v>
      </c>
      <c r="G18">
        <v>15514512</v>
      </c>
      <c r="H18">
        <v>2</v>
      </c>
      <c r="I18" t="s">
        <v>177</v>
      </c>
      <c r="J18" t="s">
        <v>178</v>
      </c>
      <c r="K18" t="s">
        <v>179</v>
      </c>
      <c r="L18">
        <v>1368</v>
      </c>
      <c r="N18">
        <v>1011</v>
      </c>
      <c r="O18" t="s">
        <v>173</v>
      </c>
      <c r="P18" t="s">
        <v>173</v>
      </c>
      <c r="Q18">
        <v>1</v>
      </c>
      <c r="X18">
        <v>0.42</v>
      </c>
      <c r="Y18">
        <v>0</v>
      </c>
      <c r="Z18">
        <v>1783.28</v>
      </c>
      <c r="AA18">
        <v>842.87</v>
      </c>
      <c r="AB18">
        <v>0</v>
      </c>
      <c r="AC18">
        <v>0</v>
      </c>
      <c r="AD18">
        <v>1</v>
      </c>
      <c r="AE18">
        <v>0</v>
      </c>
      <c r="AF18" t="s">
        <v>129</v>
      </c>
      <c r="AG18">
        <v>4.2</v>
      </c>
      <c r="AH18">
        <v>2</v>
      </c>
      <c r="AI18">
        <v>80892247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5">
      <c r="A19">
        <f>ROW(Source!A80)</f>
        <v>80</v>
      </c>
      <c r="B19">
        <v>80892248</v>
      </c>
      <c r="C19">
        <v>80892109</v>
      </c>
      <c r="D19">
        <v>80215470</v>
      </c>
      <c r="E19">
        <v>1</v>
      </c>
      <c r="F19">
        <v>1</v>
      </c>
      <c r="G19">
        <v>15514512</v>
      </c>
      <c r="H19">
        <v>3</v>
      </c>
      <c r="I19" t="s">
        <v>37</v>
      </c>
      <c r="J19" t="s">
        <v>40</v>
      </c>
      <c r="K19" t="s">
        <v>38</v>
      </c>
      <c r="L19">
        <v>1339</v>
      </c>
      <c r="N19">
        <v>1007</v>
      </c>
      <c r="O19" t="s">
        <v>39</v>
      </c>
      <c r="P19" t="s">
        <v>39</v>
      </c>
      <c r="Q19">
        <v>1</v>
      </c>
      <c r="X19">
        <v>0.35</v>
      </c>
      <c r="Y19">
        <v>54.81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129</v>
      </c>
      <c r="AG19">
        <v>3.5</v>
      </c>
      <c r="AH19">
        <v>2</v>
      </c>
      <c r="AI19">
        <v>80892248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5">
      <c r="A20">
        <f>ROW(Source!A81)</f>
        <v>81</v>
      </c>
      <c r="B20">
        <v>80892249</v>
      </c>
      <c r="C20">
        <v>80892110</v>
      </c>
      <c r="D20">
        <v>80213221</v>
      </c>
      <c r="E20">
        <v>1</v>
      </c>
      <c r="F20">
        <v>1</v>
      </c>
      <c r="G20">
        <v>15514512</v>
      </c>
      <c r="H20">
        <v>2</v>
      </c>
      <c r="I20" t="s">
        <v>177</v>
      </c>
      <c r="J20" t="s">
        <v>178</v>
      </c>
      <c r="K20" t="s">
        <v>179</v>
      </c>
      <c r="L20">
        <v>1368</v>
      </c>
      <c r="N20">
        <v>1011</v>
      </c>
      <c r="O20" t="s">
        <v>173</v>
      </c>
      <c r="P20" t="s">
        <v>173</v>
      </c>
      <c r="Q20">
        <v>1</v>
      </c>
      <c r="X20">
        <v>0.66</v>
      </c>
      <c r="Y20">
        <v>0</v>
      </c>
      <c r="Z20">
        <v>1783.28</v>
      </c>
      <c r="AA20">
        <v>842.87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0.66</v>
      </c>
      <c r="AH20">
        <v>2</v>
      </c>
      <c r="AI20">
        <v>80892249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5">
      <c r="A21">
        <f>ROW(Source!A81)</f>
        <v>81</v>
      </c>
      <c r="B21">
        <v>80892250</v>
      </c>
      <c r="C21">
        <v>80892110</v>
      </c>
      <c r="D21">
        <v>80215394</v>
      </c>
      <c r="E21">
        <v>1</v>
      </c>
      <c r="F21">
        <v>1</v>
      </c>
      <c r="G21">
        <v>15514512</v>
      </c>
      <c r="H21">
        <v>3</v>
      </c>
      <c r="I21" t="s">
        <v>189</v>
      </c>
      <c r="J21" t="s">
        <v>190</v>
      </c>
      <c r="K21" t="s">
        <v>191</v>
      </c>
      <c r="L21">
        <v>1296</v>
      </c>
      <c r="N21">
        <v>1002</v>
      </c>
      <c r="O21" t="s">
        <v>192</v>
      </c>
      <c r="P21" t="s">
        <v>192</v>
      </c>
      <c r="Q21">
        <v>1</v>
      </c>
      <c r="X21">
        <v>1.1200000000000001</v>
      </c>
      <c r="Y21">
        <v>256.36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1.1200000000000001</v>
      </c>
      <c r="AH21">
        <v>2</v>
      </c>
      <c r="AI21">
        <v>80892250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5">
      <c r="A22">
        <f>ROW(Source!A81)</f>
        <v>81</v>
      </c>
      <c r="B22">
        <v>80892251</v>
      </c>
      <c r="C22">
        <v>80892110</v>
      </c>
      <c r="D22">
        <v>80215470</v>
      </c>
      <c r="E22">
        <v>1</v>
      </c>
      <c r="F22">
        <v>1</v>
      </c>
      <c r="G22">
        <v>15514512</v>
      </c>
      <c r="H22">
        <v>3</v>
      </c>
      <c r="I22" t="s">
        <v>37</v>
      </c>
      <c r="J22" t="s">
        <v>40</v>
      </c>
      <c r="K22" t="s">
        <v>38</v>
      </c>
      <c r="L22">
        <v>1339</v>
      </c>
      <c r="N22">
        <v>1007</v>
      </c>
      <c r="O22" t="s">
        <v>39</v>
      </c>
      <c r="P22" t="s">
        <v>39</v>
      </c>
      <c r="Q22">
        <v>1</v>
      </c>
      <c r="X22">
        <v>1.1200000000000001</v>
      </c>
      <c r="Y22">
        <v>54.81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1.1200000000000001</v>
      </c>
      <c r="AH22">
        <v>2</v>
      </c>
      <c r="AI22">
        <v>80892251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5">
      <c r="A23">
        <f>ROW(Source!A117)</f>
        <v>117</v>
      </c>
      <c r="B23">
        <v>80892252</v>
      </c>
      <c r="C23">
        <v>80892175</v>
      </c>
      <c r="D23">
        <v>80199986</v>
      </c>
      <c r="E23">
        <v>15514512</v>
      </c>
      <c r="F23">
        <v>1</v>
      </c>
      <c r="G23">
        <v>15514512</v>
      </c>
      <c r="H23">
        <v>1</v>
      </c>
      <c r="I23" t="s">
        <v>174</v>
      </c>
      <c r="J23" t="s">
        <v>3</v>
      </c>
      <c r="K23" t="s">
        <v>175</v>
      </c>
      <c r="L23">
        <v>1191</v>
      </c>
      <c r="N23">
        <v>1013</v>
      </c>
      <c r="O23" t="s">
        <v>176</v>
      </c>
      <c r="P23" t="s">
        <v>176</v>
      </c>
      <c r="Q23">
        <v>1</v>
      </c>
      <c r="X23">
        <v>0.59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1</v>
      </c>
      <c r="AF23" t="s">
        <v>136</v>
      </c>
      <c r="AG23">
        <v>1.18</v>
      </c>
      <c r="AH23">
        <v>2</v>
      </c>
      <c r="AI23">
        <v>80892252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5">
      <c r="A24">
        <f>ROW(Source!A117)</f>
        <v>117</v>
      </c>
      <c r="B24">
        <v>80892253</v>
      </c>
      <c r="C24">
        <v>80892175</v>
      </c>
      <c r="D24">
        <v>80213222</v>
      </c>
      <c r="E24">
        <v>1</v>
      </c>
      <c r="F24">
        <v>1</v>
      </c>
      <c r="G24">
        <v>15514512</v>
      </c>
      <c r="H24">
        <v>2</v>
      </c>
      <c r="I24" t="s">
        <v>193</v>
      </c>
      <c r="J24" t="s">
        <v>194</v>
      </c>
      <c r="K24" t="s">
        <v>195</v>
      </c>
      <c r="L24">
        <v>1368</v>
      </c>
      <c r="N24">
        <v>1011</v>
      </c>
      <c r="O24" t="s">
        <v>173</v>
      </c>
      <c r="P24" t="s">
        <v>173</v>
      </c>
      <c r="Q24">
        <v>1</v>
      </c>
      <c r="X24">
        <v>0.34</v>
      </c>
      <c r="Y24">
        <v>0</v>
      </c>
      <c r="Z24">
        <v>20.7</v>
      </c>
      <c r="AA24">
        <v>0.2</v>
      </c>
      <c r="AB24">
        <v>0</v>
      </c>
      <c r="AC24">
        <v>0</v>
      </c>
      <c r="AD24">
        <v>1</v>
      </c>
      <c r="AE24">
        <v>0</v>
      </c>
      <c r="AF24" t="s">
        <v>136</v>
      </c>
      <c r="AG24">
        <v>0.68</v>
      </c>
      <c r="AH24">
        <v>2</v>
      </c>
      <c r="AI24">
        <v>80892253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5">
      <c r="A25">
        <f>ROW(Source!A118)</f>
        <v>118</v>
      </c>
      <c r="B25">
        <v>80892254</v>
      </c>
      <c r="C25">
        <v>80892176</v>
      </c>
      <c r="D25">
        <v>80199986</v>
      </c>
      <c r="E25">
        <v>15514512</v>
      </c>
      <c r="F25">
        <v>1</v>
      </c>
      <c r="G25">
        <v>15514512</v>
      </c>
      <c r="H25">
        <v>1</v>
      </c>
      <c r="I25" t="s">
        <v>174</v>
      </c>
      <c r="J25" t="s">
        <v>3</v>
      </c>
      <c r="K25" t="s">
        <v>175</v>
      </c>
      <c r="L25">
        <v>1191</v>
      </c>
      <c r="N25">
        <v>1013</v>
      </c>
      <c r="O25" t="s">
        <v>176</v>
      </c>
      <c r="P25" t="s">
        <v>176</v>
      </c>
      <c r="Q25">
        <v>1</v>
      </c>
      <c r="X25">
        <v>1.6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1</v>
      </c>
      <c r="AF25" t="s">
        <v>136</v>
      </c>
      <c r="AG25">
        <v>3.2</v>
      </c>
      <c r="AH25">
        <v>2</v>
      </c>
      <c r="AI25">
        <v>80892254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5">
      <c r="A26">
        <f>ROW(Source!A119)</f>
        <v>119</v>
      </c>
      <c r="B26">
        <v>80892255</v>
      </c>
      <c r="C26">
        <v>80892177</v>
      </c>
      <c r="D26">
        <v>80199986</v>
      </c>
      <c r="E26">
        <v>15514512</v>
      </c>
      <c r="F26">
        <v>1</v>
      </c>
      <c r="G26">
        <v>15514512</v>
      </c>
      <c r="H26">
        <v>1</v>
      </c>
      <c r="I26" t="s">
        <v>174</v>
      </c>
      <c r="J26" t="s">
        <v>3</v>
      </c>
      <c r="K26" t="s">
        <v>175</v>
      </c>
      <c r="L26">
        <v>1191</v>
      </c>
      <c r="N26">
        <v>1013</v>
      </c>
      <c r="O26" t="s">
        <v>176</v>
      </c>
      <c r="P26" t="s">
        <v>176</v>
      </c>
      <c r="Q26">
        <v>1</v>
      </c>
      <c r="X26">
        <v>0.48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136</v>
      </c>
      <c r="AG26">
        <v>0.96</v>
      </c>
      <c r="AH26">
        <v>2</v>
      </c>
      <c r="AI26">
        <v>80892255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5">
      <c r="A27">
        <f>ROW(Source!A119)</f>
        <v>119</v>
      </c>
      <c r="B27">
        <v>80892256</v>
      </c>
      <c r="C27">
        <v>80892177</v>
      </c>
      <c r="D27">
        <v>80213338</v>
      </c>
      <c r="E27">
        <v>1</v>
      </c>
      <c r="F27">
        <v>1</v>
      </c>
      <c r="G27">
        <v>15514512</v>
      </c>
      <c r="H27">
        <v>2</v>
      </c>
      <c r="I27" t="s">
        <v>196</v>
      </c>
      <c r="J27" t="s">
        <v>197</v>
      </c>
      <c r="K27" t="s">
        <v>198</v>
      </c>
      <c r="L27">
        <v>1368</v>
      </c>
      <c r="N27">
        <v>1011</v>
      </c>
      <c r="O27" t="s">
        <v>173</v>
      </c>
      <c r="P27" t="s">
        <v>173</v>
      </c>
      <c r="Q27">
        <v>1</v>
      </c>
      <c r="X27">
        <v>0.21</v>
      </c>
      <c r="Y27">
        <v>0</v>
      </c>
      <c r="Z27">
        <v>1650.83</v>
      </c>
      <c r="AA27">
        <v>713.72</v>
      </c>
      <c r="AB27">
        <v>0</v>
      </c>
      <c r="AC27">
        <v>0</v>
      </c>
      <c r="AD27">
        <v>1</v>
      </c>
      <c r="AE27">
        <v>0</v>
      </c>
      <c r="AF27" t="s">
        <v>136</v>
      </c>
      <c r="AG27">
        <v>0.42</v>
      </c>
      <c r="AH27">
        <v>2</v>
      </c>
      <c r="AI27">
        <v>80892256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5">
      <c r="A28">
        <f>ROW(Source!A119)</f>
        <v>119</v>
      </c>
      <c r="B28">
        <v>80892257</v>
      </c>
      <c r="C28">
        <v>80892177</v>
      </c>
      <c r="D28">
        <v>80215861</v>
      </c>
      <c r="E28">
        <v>1</v>
      </c>
      <c r="F28">
        <v>1</v>
      </c>
      <c r="G28">
        <v>15514512</v>
      </c>
      <c r="H28">
        <v>3</v>
      </c>
      <c r="I28" t="s">
        <v>199</v>
      </c>
      <c r="J28" t="s">
        <v>200</v>
      </c>
      <c r="K28" t="s">
        <v>201</v>
      </c>
      <c r="L28">
        <v>1354</v>
      </c>
      <c r="N28">
        <v>1010</v>
      </c>
      <c r="O28" t="s">
        <v>202</v>
      </c>
      <c r="P28" t="s">
        <v>202</v>
      </c>
      <c r="Q28">
        <v>1</v>
      </c>
      <c r="X28">
        <v>8</v>
      </c>
      <c r="Y28">
        <v>9.1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136</v>
      </c>
      <c r="AG28">
        <v>16</v>
      </c>
      <c r="AH28">
        <v>2</v>
      </c>
      <c r="AI28">
        <v>80892257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5">
      <c r="A29">
        <f>ROW(Source!A120)</f>
        <v>120</v>
      </c>
      <c r="B29">
        <v>80892258</v>
      </c>
      <c r="C29">
        <v>80892178</v>
      </c>
      <c r="D29">
        <v>80199986</v>
      </c>
      <c r="E29">
        <v>15514512</v>
      </c>
      <c r="F29">
        <v>1</v>
      </c>
      <c r="G29">
        <v>15514512</v>
      </c>
      <c r="H29">
        <v>1</v>
      </c>
      <c r="I29" t="s">
        <v>174</v>
      </c>
      <c r="J29" t="s">
        <v>3</v>
      </c>
      <c r="K29" t="s">
        <v>175</v>
      </c>
      <c r="L29">
        <v>1191</v>
      </c>
      <c r="N29">
        <v>1013</v>
      </c>
      <c r="O29" t="s">
        <v>176</v>
      </c>
      <c r="P29" t="s">
        <v>176</v>
      </c>
      <c r="Q29">
        <v>1</v>
      </c>
      <c r="X29">
        <v>0.05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1</v>
      </c>
      <c r="AF29" t="s">
        <v>147</v>
      </c>
      <c r="AG29">
        <v>9.9500000000000011</v>
      </c>
      <c r="AH29">
        <v>2</v>
      </c>
      <c r="AI29">
        <v>80892258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5">
      <c r="A30">
        <f>ROW(Source!A120)</f>
        <v>120</v>
      </c>
      <c r="B30">
        <v>80892259</v>
      </c>
      <c r="C30">
        <v>80892178</v>
      </c>
      <c r="D30">
        <v>80215861</v>
      </c>
      <c r="E30">
        <v>1</v>
      </c>
      <c r="F30">
        <v>1</v>
      </c>
      <c r="G30">
        <v>15514512</v>
      </c>
      <c r="H30">
        <v>3</v>
      </c>
      <c r="I30" t="s">
        <v>199</v>
      </c>
      <c r="J30" t="s">
        <v>200</v>
      </c>
      <c r="K30" t="s">
        <v>201</v>
      </c>
      <c r="L30">
        <v>1354</v>
      </c>
      <c r="N30">
        <v>1010</v>
      </c>
      <c r="O30" t="s">
        <v>202</v>
      </c>
      <c r="P30" t="s">
        <v>202</v>
      </c>
      <c r="Q30">
        <v>1</v>
      </c>
      <c r="X30">
        <v>0.1</v>
      </c>
      <c r="Y30">
        <v>9.1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147</v>
      </c>
      <c r="AG30">
        <v>19.900000000000002</v>
      </c>
      <c r="AH30">
        <v>2</v>
      </c>
      <c r="AI30">
        <v>80892259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5">
      <c r="A31">
        <f>ROW(Source!A121)</f>
        <v>121</v>
      </c>
      <c r="B31">
        <v>80892260</v>
      </c>
      <c r="C31">
        <v>80892179</v>
      </c>
      <c r="D31">
        <v>80199986</v>
      </c>
      <c r="E31">
        <v>15514512</v>
      </c>
      <c r="F31">
        <v>1</v>
      </c>
      <c r="G31">
        <v>15514512</v>
      </c>
      <c r="H31">
        <v>1</v>
      </c>
      <c r="I31" t="s">
        <v>174</v>
      </c>
      <c r="J31" t="s">
        <v>3</v>
      </c>
      <c r="K31" t="s">
        <v>175</v>
      </c>
      <c r="L31">
        <v>1191</v>
      </c>
      <c r="N31">
        <v>1013</v>
      </c>
      <c r="O31" t="s">
        <v>176</v>
      </c>
      <c r="P31" t="s">
        <v>176</v>
      </c>
      <c r="Q31">
        <v>1</v>
      </c>
      <c r="X31">
        <v>0.98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1</v>
      </c>
      <c r="AF31" t="s">
        <v>129</v>
      </c>
      <c r="AG31">
        <v>9.8000000000000007</v>
      </c>
      <c r="AH31">
        <v>2</v>
      </c>
      <c r="AI31">
        <v>80892260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5">
      <c r="A32">
        <f>ROW(Source!A121)</f>
        <v>121</v>
      </c>
      <c r="B32">
        <v>80892261</v>
      </c>
      <c r="C32">
        <v>80892179</v>
      </c>
      <c r="D32">
        <v>80213130</v>
      </c>
      <c r="E32">
        <v>1</v>
      </c>
      <c r="F32">
        <v>1</v>
      </c>
      <c r="G32">
        <v>15514512</v>
      </c>
      <c r="H32">
        <v>2</v>
      </c>
      <c r="I32" t="s">
        <v>203</v>
      </c>
      <c r="J32" t="s">
        <v>204</v>
      </c>
      <c r="K32" t="s">
        <v>205</v>
      </c>
      <c r="L32">
        <v>1368</v>
      </c>
      <c r="N32">
        <v>1011</v>
      </c>
      <c r="O32" t="s">
        <v>173</v>
      </c>
      <c r="P32" t="s">
        <v>173</v>
      </c>
      <c r="Q32">
        <v>1</v>
      </c>
      <c r="X32">
        <v>0.75</v>
      </c>
      <c r="Y32">
        <v>0</v>
      </c>
      <c r="Z32">
        <v>32.590000000000003</v>
      </c>
      <c r="AA32">
        <v>3.28</v>
      </c>
      <c r="AB32">
        <v>0</v>
      </c>
      <c r="AC32">
        <v>0</v>
      </c>
      <c r="AD32">
        <v>1</v>
      </c>
      <c r="AE32">
        <v>0</v>
      </c>
      <c r="AF32" t="s">
        <v>129</v>
      </c>
      <c r="AG32">
        <v>7.5</v>
      </c>
      <c r="AH32">
        <v>2</v>
      </c>
      <c r="AI32">
        <v>80892261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5">
      <c r="A33">
        <f>ROW(Source!A122)</f>
        <v>122</v>
      </c>
      <c r="B33">
        <v>80892262</v>
      </c>
      <c r="C33">
        <v>80892180</v>
      </c>
      <c r="D33">
        <v>80199986</v>
      </c>
      <c r="E33">
        <v>15514512</v>
      </c>
      <c r="F33">
        <v>1</v>
      </c>
      <c r="G33">
        <v>15514512</v>
      </c>
      <c r="H33">
        <v>1</v>
      </c>
      <c r="I33" t="s">
        <v>174</v>
      </c>
      <c r="J33" t="s">
        <v>3</v>
      </c>
      <c r="K33" t="s">
        <v>175</v>
      </c>
      <c r="L33">
        <v>1191</v>
      </c>
      <c r="N33">
        <v>1013</v>
      </c>
      <c r="O33" t="s">
        <v>176</v>
      </c>
      <c r="P33" t="s">
        <v>176</v>
      </c>
      <c r="Q33">
        <v>1</v>
      </c>
      <c r="X33">
        <v>0.56000000000000005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1</v>
      </c>
      <c r="AF33" t="s">
        <v>129</v>
      </c>
      <c r="AG33">
        <v>5.6000000000000005</v>
      </c>
      <c r="AH33">
        <v>2</v>
      </c>
      <c r="AI33">
        <v>80892262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5">
      <c r="A34">
        <f>ROW(Source!A122)</f>
        <v>122</v>
      </c>
      <c r="B34">
        <v>80892263</v>
      </c>
      <c r="C34">
        <v>80892180</v>
      </c>
      <c r="D34">
        <v>80212805</v>
      </c>
      <c r="E34">
        <v>1</v>
      </c>
      <c r="F34">
        <v>1</v>
      </c>
      <c r="G34">
        <v>15514512</v>
      </c>
      <c r="H34">
        <v>2</v>
      </c>
      <c r="I34" t="s">
        <v>206</v>
      </c>
      <c r="J34" t="s">
        <v>207</v>
      </c>
      <c r="K34" t="s">
        <v>208</v>
      </c>
      <c r="L34">
        <v>1368</v>
      </c>
      <c r="N34">
        <v>1011</v>
      </c>
      <c r="O34" t="s">
        <v>173</v>
      </c>
      <c r="P34" t="s">
        <v>173</v>
      </c>
      <c r="Q34">
        <v>1</v>
      </c>
      <c r="X34">
        <v>0.3</v>
      </c>
      <c r="Y34">
        <v>0</v>
      </c>
      <c r="Z34">
        <v>2997.56</v>
      </c>
      <c r="AA34">
        <v>1034.8599999999999</v>
      </c>
      <c r="AB34">
        <v>0</v>
      </c>
      <c r="AC34">
        <v>0</v>
      </c>
      <c r="AD34">
        <v>1</v>
      </c>
      <c r="AE34">
        <v>0</v>
      </c>
      <c r="AF34" t="s">
        <v>129</v>
      </c>
      <c r="AG34">
        <v>3</v>
      </c>
      <c r="AH34">
        <v>2</v>
      </c>
      <c r="AI34">
        <v>80892263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5">
      <c r="A35">
        <f>ROW(Source!A122)</f>
        <v>122</v>
      </c>
      <c r="B35">
        <v>80892264</v>
      </c>
      <c r="C35">
        <v>80892180</v>
      </c>
      <c r="D35">
        <v>80215470</v>
      </c>
      <c r="E35">
        <v>1</v>
      </c>
      <c r="F35">
        <v>1</v>
      </c>
      <c r="G35">
        <v>15514512</v>
      </c>
      <c r="H35">
        <v>3</v>
      </c>
      <c r="I35" t="s">
        <v>37</v>
      </c>
      <c r="J35" t="s">
        <v>40</v>
      </c>
      <c r="K35" t="s">
        <v>38</v>
      </c>
      <c r="L35">
        <v>1339</v>
      </c>
      <c r="N35">
        <v>1007</v>
      </c>
      <c r="O35" t="s">
        <v>39</v>
      </c>
      <c r="P35" t="s">
        <v>39</v>
      </c>
      <c r="Q35">
        <v>1</v>
      </c>
      <c r="X35">
        <v>1</v>
      </c>
      <c r="Y35">
        <v>54.81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129</v>
      </c>
      <c r="AG35">
        <v>10</v>
      </c>
      <c r="AH35">
        <v>2</v>
      </c>
      <c r="AI35">
        <v>80892264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5">
      <c r="A36">
        <f>ROW(Source!A124)</f>
        <v>124</v>
      </c>
      <c r="B36">
        <v>80892265</v>
      </c>
      <c r="C36">
        <v>80892181</v>
      </c>
      <c r="D36">
        <v>80199986</v>
      </c>
      <c r="E36">
        <v>15514512</v>
      </c>
      <c r="F36">
        <v>1</v>
      </c>
      <c r="G36">
        <v>15514512</v>
      </c>
      <c r="H36">
        <v>1</v>
      </c>
      <c r="I36" t="s">
        <v>174</v>
      </c>
      <c r="J36" t="s">
        <v>3</v>
      </c>
      <c r="K36" t="s">
        <v>175</v>
      </c>
      <c r="L36">
        <v>1191</v>
      </c>
      <c r="N36">
        <v>1013</v>
      </c>
      <c r="O36" t="s">
        <v>176</v>
      </c>
      <c r="P36" t="s">
        <v>176</v>
      </c>
      <c r="Q36">
        <v>1</v>
      </c>
      <c r="X36">
        <v>0.7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1</v>
      </c>
      <c r="AF36" t="s">
        <v>3</v>
      </c>
      <c r="AG36">
        <v>0.7</v>
      </c>
      <c r="AH36">
        <v>2</v>
      </c>
      <c r="AI36">
        <v>80892265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5">
      <c r="A37">
        <f>ROW(Source!A124)</f>
        <v>124</v>
      </c>
      <c r="B37">
        <v>80892266</v>
      </c>
      <c r="C37">
        <v>80892181</v>
      </c>
      <c r="D37">
        <v>80200071</v>
      </c>
      <c r="E37">
        <v>15514512</v>
      </c>
      <c r="F37">
        <v>1</v>
      </c>
      <c r="G37">
        <v>15514512</v>
      </c>
      <c r="H37">
        <v>3</v>
      </c>
      <c r="I37" t="s">
        <v>209</v>
      </c>
      <c r="J37" t="s">
        <v>3</v>
      </c>
      <c r="K37" t="s">
        <v>210</v>
      </c>
      <c r="L37">
        <v>1346</v>
      </c>
      <c r="N37">
        <v>1009</v>
      </c>
      <c r="O37" t="s">
        <v>160</v>
      </c>
      <c r="P37" t="s">
        <v>160</v>
      </c>
      <c r="Q37">
        <v>1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 t="s">
        <v>3</v>
      </c>
      <c r="AG37">
        <v>0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8EBE0-F55C-4C2A-A6F8-8CAA787F2CA2}">
  <dimension ref="A1"/>
  <sheetViews>
    <sheetView workbookViewId="0"/>
  </sheetViews>
  <sheetFormatPr defaultColWidth="9.1796875" defaultRowHeight="12.5" x14ac:dyDescent="0.25"/>
  <cols>
    <col min="1" max="256" width="9.179687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5992B-F4C3-49E0-A413-465798DA9067}">
  <dimension ref="A1:CY12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0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03" x14ac:dyDescent="0.25">
      <c r="F12" t="str">
        <f>Source!F12</f>
        <v>Новый объект</v>
      </c>
      <c r="G12" t="str">
        <f>Source!G12</f>
        <v>Зона 5</v>
      </c>
      <c r="AB12" t="s">
        <v>3</v>
      </c>
      <c r="AC12" t="s">
        <v>3</v>
      </c>
      <c r="AD12" t="s">
        <v>3</v>
      </c>
      <c r="AE12" t="s">
        <v>3</v>
      </c>
      <c r="AF12" t="s">
        <v>3</v>
      </c>
      <c r="AG12" t="s">
        <v>3</v>
      </c>
      <c r="AH12" t="s">
        <v>3</v>
      </c>
      <c r="AI12" t="s">
        <v>3</v>
      </c>
      <c r="AJ12">
        <v>0</v>
      </c>
      <c r="AK12" t="s">
        <v>3</v>
      </c>
      <c r="AL12" t="s">
        <v>3</v>
      </c>
      <c r="AM12" t="s">
        <v>3</v>
      </c>
      <c r="CY1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1-5,7</vt:lpstr>
      <vt:lpstr>Ведомость объемов работ</vt:lpstr>
      <vt:lpstr>Source</vt:lpstr>
      <vt:lpstr>SourceObSm</vt:lpstr>
      <vt:lpstr>SmtRes</vt:lpstr>
      <vt:lpstr>EtalonRes</vt:lpstr>
      <vt:lpstr>SrcPoprs</vt:lpstr>
      <vt:lpstr>SrcKA</vt:lpstr>
      <vt:lpstr>'Ведомость объемов работ'!Заголовки_для_печати</vt:lpstr>
      <vt:lpstr>'Смета СН-2012 по гл. 1-5,7'!Заголовки_для_печати</vt:lpstr>
      <vt:lpstr>'Ведомость объемов работ'!Область_печати</vt:lpstr>
      <vt:lpstr>'Смета СН-2012 по гл. 1-5,7'!Область_печати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2025-11-26T17:17:27Z</dcterms:created>
  <dcterms:modified xsi:type="dcterms:W3CDTF">2025-12-09T09:42:33Z</dcterms:modified>
</cp:coreProperties>
</file>